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 players" sheetId="1" state="visible" r:id="rId1"/>
    <sheet xmlns:r="http://schemas.openxmlformats.org/officeDocument/2006/relationships" name="6 players" sheetId="2" state="visible" r:id="rId2"/>
    <sheet xmlns:r="http://schemas.openxmlformats.org/officeDocument/2006/relationships" name="4 players" sheetId="3" state="visible" r:id="rId3"/>
    <sheet xmlns:r="http://schemas.openxmlformats.org/officeDocument/2006/relationships" name="Example" sheetId="4" state="visible" r:id="rId4"/>
    <sheet xmlns:r="http://schemas.openxmlformats.org/officeDocument/2006/relationships" name="How it works" sheetId="5" state="visible" r:id="rId5"/>
  </sheets>
  <definedNames>
    <definedName name="_xlnm.Print_Area" localSheetId="0">'8 players'!$A$1:$R$32</definedName>
    <definedName name="_xlnm.Print_Area" localSheetId="1">'6 players'!$A$1:$P$19</definedName>
    <definedName name="_xlnm.Print_Area" localSheetId="2">'4 players'!$A$1:$N$10</definedName>
    <definedName name="_xlnm.Print_Area" localSheetId="3">'Example'!$A$1:$P$19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color rgb="00555555"/>
      <sz val="10"/>
    </font>
    <font>
      <name val="Arial"/>
      <b val="1"/>
      <color rgb="00FFFFFF"/>
      <sz val="10"/>
    </font>
    <font>
      <name val="Arial"/>
      <color rgb="00333333"/>
      <sz val="10"/>
    </font>
    <font>
      <name val="Arial"/>
      <sz val="10"/>
    </font>
    <font>
      <name val="Arial"/>
      <b val="1"/>
      <sz val="11"/>
    </font>
  </fonts>
  <fills count="6">
    <fill>
      <patternFill/>
    </fill>
    <fill>
      <patternFill patternType="gray125"/>
    </fill>
    <fill>
      <patternFill patternType="solid">
        <fgColor rgb="002B2B2B"/>
      </patternFill>
    </fill>
    <fill>
      <patternFill patternType="solid">
        <fgColor rgb="00EFEFEF"/>
      </patternFill>
    </fill>
    <fill>
      <patternFill patternType="solid">
        <fgColor rgb="00FFF4C2"/>
      </patternFill>
    </fill>
    <fill>
      <patternFill patternType="solid">
        <fgColor rgb="00BDBDBD"/>
      </patternFill>
    </fill>
  </fills>
  <borders count="3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  <border>
      <left style="thin">
        <color rgb="00B0B0B0"/>
      </left>
      <right style="thin">
        <color rgb="00B0B0B0"/>
      </right>
      <top style="thin">
        <color rgb="00B0B0B0"/>
      </top>
      <bottom style="medium">
        <color rgb="0055555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0" fontId="5" fillId="4" borderId="1" pivotButton="0" quotePrefix="0" xfId="0"/>
    <xf numFmtId="0" fontId="4" fillId="5" borderId="1" pivotButton="0" quotePrefix="0" xfId="0"/>
    <xf numFmtId="164" fontId="4" fillId="3" borderId="1" applyAlignment="1" pivotButton="0" quotePrefix="0" xfId="0">
      <alignment horizontal="center" vertical="center"/>
    </xf>
    <xf numFmtId="2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0" fontId="4" fillId="3" borderId="1" pivotButton="0" quotePrefix="0" xfId="0"/>
    <xf numFmtId="49" fontId="5" fillId="4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0" fontId="4" fillId="3" borderId="2" pivotButton="0" quotePrefix="0" xfId="0"/>
    <xf numFmtId="49" fontId="5" fillId="4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B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7" customWidth="1" min="11" max="11"/>
    <col width="7" customWidth="1" min="12" max="12"/>
    <col width="7" customWidth="1" min="13" max="13"/>
    <col width="3" customWidth="1" min="14" max="14"/>
    <col width="7" customWidth="1" min="15" max="15"/>
    <col width="18" customWidth="1" min="16" max="16"/>
    <col width="8" customWidth="1" min="17" max="17"/>
    <col width="18" customWidth="1" min="18" max="18"/>
    <col width="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</cols>
  <sheetData>
    <row r="1" ht="24" customHeight="1">
      <c r="A1" s="1" t="inlineStr">
        <is>
          <t>Round robin, 7 or 8 players</t>
        </is>
      </c>
    </row>
    <row r="2">
      <c r="A2" s="2" t="inlineStr">
        <is>
          <t>Type the names in the yellow cells and pick each result from the list. With 7 players, leave No. 8 empty: whoever meets No. 8 has the bye.</t>
        </is>
      </c>
    </row>
    <row r="4" ht="20" customHeight="1">
      <c r="A4" s="3" t="inlineStr">
        <is>
          <t>No.</t>
        </is>
      </c>
      <c r="B4" s="3" t="inlineStr">
        <is>
          <t>Player</t>
        </is>
      </c>
      <c r="C4" s="3" t="inlineStr">
        <is>
          <t>1</t>
        </is>
      </c>
      <c r="D4" s="3" t="inlineStr">
        <is>
          <t>2</t>
        </is>
      </c>
      <c r="E4" s="3" t="inlineStr">
        <is>
          <t>3</t>
        </is>
      </c>
      <c r="F4" s="3" t="inlineStr">
        <is>
          <t>4</t>
        </is>
      </c>
      <c r="G4" s="3" t="inlineStr">
        <is>
          <t>5</t>
        </is>
      </c>
      <c r="H4" s="3" t="inlineStr">
        <is>
          <t>6</t>
        </is>
      </c>
      <c r="I4" s="3" t="inlineStr">
        <is>
          <t>7</t>
        </is>
      </c>
      <c r="J4" s="3" t="inlineStr">
        <is>
          <t>8</t>
        </is>
      </c>
      <c r="K4" s="3" t="inlineStr">
        <is>
          <t>Score</t>
        </is>
      </c>
      <c r="L4" s="3" t="inlineStr">
        <is>
          <t>SB</t>
        </is>
      </c>
      <c r="M4" s="3" t="inlineStr">
        <is>
          <t>Place</t>
        </is>
      </c>
      <c r="O4" s="3" t="inlineStr">
        <is>
          <t>Round</t>
        </is>
      </c>
      <c r="P4" s="3" t="inlineStr">
        <is>
          <t>White</t>
        </is>
      </c>
      <c r="Q4" s="3" t="inlineStr">
        <is>
          <t>Result</t>
        </is>
      </c>
      <c r="R4" s="3" t="inlineStr">
        <is>
          <t>Black</t>
        </is>
      </c>
      <c r="T4" s="2" t="inlineStr">
        <is>
          <t>W no.</t>
        </is>
      </c>
      <c r="U4" s="2" t="inlineStr">
        <is>
          <t>B no.</t>
        </is>
      </c>
      <c r="V4" s="2" t="inlineStr">
        <is>
          <t>Played</t>
        </is>
      </c>
      <c r="W4" s="2" t="inlineStr">
        <is>
          <t>W pts</t>
        </is>
      </c>
      <c r="X4" s="2" t="inlineStr">
        <is>
          <t>B pts</t>
        </is>
      </c>
      <c r="Y4" s="2" t="inlineStr">
        <is>
          <t>W SB</t>
        </is>
      </c>
      <c r="Z4" s="2" t="inlineStr">
        <is>
          <t>B SB</t>
        </is>
      </c>
      <c r="AA4" s="2" t="inlineStr">
        <is>
          <t>Score</t>
        </is>
      </c>
      <c r="AB4" s="2" t="inlineStr">
        <is>
          <t>In</t>
        </is>
      </c>
    </row>
    <row r="5">
      <c r="A5" s="4" t="n">
        <v>1</v>
      </c>
      <c r="B5" s="5" t="n"/>
      <c r="C5" s="6" t="n"/>
      <c r="D5" s="4">
        <f>IF(COUNTIFS($T$5:$T$32,1,$U$5:$U$32,2,$V$5:$V$32,1)+COUNTIFS($T$5:$T$32,2,$U$5:$U$32,1,$V$5:$V$32,1)=0,"",CHOOSE((SUMIFS($W$5:$W$32,$T$5:$T$32,1,$U$5:$U$32,2)+SUMIFS($X$5:$X$32,$T$5:$T$32,2,$U$5:$U$32,1))*2+1,"0","½","1"))</f>
        <v/>
      </c>
      <c r="E5" s="4">
        <f>IF(COUNTIFS($T$5:$T$32,1,$U$5:$U$32,3,$V$5:$V$32,1)+COUNTIFS($T$5:$T$32,3,$U$5:$U$32,1,$V$5:$V$32,1)=0,"",CHOOSE((SUMIFS($W$5:$W$32,$T$5:$T$32,1,$U$5:$U$32,3)+SUMIFS($X$5:$X$32,$T$5:$T$32,3,$U$5:$U$32,1))*2+1,"0","½","1"))</f>
        <v/>
      </c>
      <c r="F5" s="4">
        <f>IF(COUNTIFS($T$5:$T$32,1,$U$5:$U$32,4,$V$5:$V$32,1)+COUNTIFS($T$5:$T$32,4,$U$5:$U$32,1,$V$5:$V$32,1)=0,"",CHOOSE((SUMIFS($W$5:$W$32,$T$5:$T$32,1,$U$5:$U$32,4)+SUMIFS($X$5:$X$32,$T$5:$T$32,4,$U$5:$U$32,1))*2+1,"0","½","1"))</f>
        <v/>
      </c>
      <c r="G5" s="4">
        <f>IF(COUNTIFS($T$5:$T$32,1,$U$5:$U$32,5,$V$5:$V$32,1)+COUNTIFS($T$5:$T$32,5,$U$5:$U$32,1,$V$5:$V$32,1)=0,"",CHOOSE((SUMIFS($W$5:$W$32,$T$5:$T$32,1,$U$5:$U$32,5)+SUMIFS($X$5:$X$32,$T$5:$T$32,5,$U$5:$U$32,1))*2+1,"0","½","1"))</f>
        <v/>
      </c>
      <c r="H5" s="4">
        <f>IF(COUNTIFS($T$5:$T$32,1,$U$5:$U$32,6,$V$5:$V$32,1)+COUNTIFS($T$5:$T$32,6,$U$5:$U$32,1,$V$5:$V$32,1)=0,"",CHOOSE((SUMIFS($W$5:$W$32,$T$5:$T$32,1,$U$5:$U$32,6)+SUMIFS($X$5:$X$32,$T$5:$T$32,6,$U$5:$U$32,1))*2+1,"0","½","1"))</f>
        <v/>
      </c>
      <c r="I5" s="4">
        <f>IF(COUNTIFS($T$5:$T$32,1,$U$5:$U$32,7,$V$5:$V$32,1)+COUNTIFS($T$5:$T$32,7,$U$5:$U$32,1,$V$5:$V$32,1)=0,"",CHOOSE((SUMIFS($W$5:$W$32,$T$5:$T$32,1,$U$5:$U$32,7)+SUMIFS($X$5:$X$32,$T$5:$T$32,7,$U$5:$U$32,1))*2+1,"0","½","1"))</f>
        <v/>
      </c>
      <c r="J5" s="4">
        <f>IF(COUNTIFS($T$5:$T$32,1,$U$5:$U$32,8,$V$5:$V$32,1)+COUNTIFS($T$5:$T$32,8,$U$5:$U$32,1,$V$5:$V$32,1)=0,"",CHOOSE((SUMIFS($W$5:$W$32,$T$5:$T$32,1,$U$5:$U$32,8)+SUMIFS($X$5:$X$32,$T$5:$T$32,8,$U$5:$U$32,1))*2+1,"0","½","1"))</f>
        <v/>
      </c>
      <c r="K5" s="7">
        <f>IF(B5="","",AA5)</f>
        <v/>
      </c>
      <c r="L5" s="8">
        <f>IF(B5="","",SUMIF($T$5:$T$32,1,$Y$5:$Y$32)+SUMIF($U$5:$U$32,1,$Z$5:$Z$32))</f>
        <v/>
      </c>
      <c r="M5" s="9">
        <f>IF(B5="","",COUNTIFS($AB$5:$AB$12,1,$AA$5:$AA$12,"&gt;"&amp;AA5)+COUNTIFS($AB$5:$AB$12,1,$AA$5:$AA$12,AA5,$L$5:$L$12,"&gt;"&amp;L5)+1)</f>
        <v/>
      </c>
      <c r="O5" s="4" t="n">
        <v>1</v>
      </c>
      <c r="P5" s="10">
        <f>IF(INDEX($B$5:$B$12,1)="","1. bye","1. "&amp;INDEX($B$5:$B$12,1))</f>
        <v/>
      </c>
      <c r="Q5" s="11" t="n"/>
      <c r="R5" s="10">
        <f>IF(INDEX($B$5:$B$12,8)="","8. bye","8. "&amp;INDEX($B$5:$B$12,8))</f>
        <v/>
      </c>
      <c r="T5" t="n">
        <v>1</v>
      </c>
      <c r="U5" t="n">
        <v>8</v>
      </c>
      <c r="V5">
        <f>IF(OR(Q5="1-0",Q5="½-½",Q5="0-1"),1,0)</f>
        <v/>
      </c>
      <c r="W5">
        <f>IF(Q5="1-0",1,IF(Q5="½-½",0.5,0))</f>
        <v/>
      </c>
      <c r="X5">
        <f>IF(Q5="0-1",1,IF(Q5="½-½",0.5,0))</f>
        <v/>
      </c>
      <c r="Y5">
        <f>W5*INDEX($AA$5:$AA$12,8)</f>
        <v/>
      </c>
      <c r="Z5">
        <f>X5*INDEX($AA$5:$AA$12,1)</f>
        <v/>
      </c>
      <c r="AA5">
        <f>SUMIF($T$5:$T$32,1,$W$5:$W$32)+SUMIF($U$5:$U$32,1,$X$5:$X$32)</f>
        <v/>
      </c>
      <c r="AB5">
        <f>IF(B5="",0,1)</f>
        <v/>
      </c>
    </row>
    <row r="6">
      <c r="A6" s="4" t="n">
        <v>2</v>
      </c>
      <c r="B6" s="5" t="n"/>
      <c r="C6" s="4">
        <f>IF(COUNTIFS($T$5:$T$32,2,$U$5:$U$32,1,$V$5:$V$32,1)+COUNTIFS($T$5:$T$32,1,$U$5:$U$32,2,$V$5:$V$32,1)=0,"",CHOOSE((SUMIFS($W$5:$W$32,$T$5:$T$32,2,$U$5:$U$32,1)+SUMIFS($X$5:$X$32,$T$5:$T$32,1,$U$5:$U$32,2))*2+1,"0","½","1"))</f>
        <v/>
      </c>
      <c r="D6" s="6" t="n"/>
      <c r="E6" s="4">
        <f>IF(COUNTIFS($T$5:$T$32,2,$U$5:$U$32,3,$V$5:$V$32,1)+COUNTIFS($T$5:$T$32,3,$U$5:$U$32,2,$V$5:$V$32,1)=0,"",CHOOSE((SUMIFS($W$5:$W$32,$T$5:$T$32,2,$U$5:$U$32,3)+SUMIFS($X$5:$X$32,$T$5:$T$32,3,$U$5:$U$32,2))*2+1,"0","½","1"))</f>
        <v/>
      </c>
      <c r="F6" s="4">
        <f>IF(COUNTIFS($T$5:$T$32,2,$U$5:$U$32,4,$V$5:$V$32,1)+COUNTIFS($T$5:$T$32,4,$U$5:$U$32,2,$V$5:$V$32,1)=0,"",CHOOSE((SUMIFS($W$5:$W$32,$T$5:$T$32,2,$U$5:$U$32,4)+SUMIFS($X$5:$X$32,$T$5:$T$32,4,$U$5:$U$32,2))*2+1,"0","½","1"))</f>
        <v/>
      </c>
      <c r="G6" s="4">
        <f>IF(COUNTIFS($T$5:$T$32,2,$U$5:$U$32,5,$V$5:$V$32,1)+COUNTIFS($T$5:$T$32,5,$U$5:$U$32,2,$V$5:$V$32,1)=0,"",CHOOSE((SUMIFS($W$5:$W$32,$T$5:$T$32,2,$U$5:$U$32,5)+SUMIFS($X$5:$X$32,$T$5:$T$32,5,$U$5:$U$32,2))*2+1,"0","½","1"))</f>
        <v/>
      </c>
      <c r="H6" s="4">
        <f>IF(COUNTIFS($T$5:$T$32,2,$U$5:$U$32,6,$V$5:$V$32,1)+COUNTIFS($T$5:$T$32,6,$U$5:$U$32,2,$V$5:$V$32,1)=0,"",CHOOSE((SUMIFS($W$5:$W$32,$T$5:$T$32,2,$U$5:$U$32,6)+SUMIFS($X$5:$X$32,$T$5:$T$32,6,$U$5:$U$32,2))*2+1,"0","½","1"))</f>
        <v/>
      </c>
      <c r="I6" s="4">
        <f>IF(COUNTIFS($T$5:$T$32,2,$U$5:$U$32,7,$V$5:$V$32,1)+COUNTIFS($T$5:$T$32,7,$U$5:$U$32,2,$V$5:$V$32,1)=0,"",CHOOSE((SUMIFS($W$5:$W$32,$T$5:$T$32,2,$U$5:$U$32,7)+SUMIFS($X$5:$X$32,$T$5:$T$32,7,$U$5:$U$32,2))*2+1,"0","½","1"))</f>
        <v/>
      </c>
      <c r="J6" s="4">
        <f>IF(COUNTIFS($T$5:$T$32,2,$U$5:$U$32,8,$V$5:$V$32,1)+COUNTIFS($T$5:$T$32,8,$U$5:$U$32,2,$V$5:$V$32,1)=0,"",CHOOSE((SUMIFS($W$5:$W$32,$T$5:$T$32,2,$U$5:$U$32,8)+SUMIFS($X$5:$X$32,$T$5:$T$32,8,$U$5:$U$32,2))*2+1,"0","½","1"))</f>
        <v/>
      </c>
      <c r="K6" s="7">
        <f>IF(B6="","",AA6)</f>
        <v/>
      </c>
      <c r="L6" s="8">
        <f>IF(B6="","",SUMIF($T$5:$T$32,2,$Y$5:$Y$32)+SUMIF($U$5:$U$32,2,$Z$5:$Z$32))</f>
        <v/>
      </c>
      <c r="M6" s="9">
        <f>IF(B6="","",COUNTIFS($AB$5:$AB$12,1,$AA$5:$AA$12,"&gt;"&amp;AA6)+COUNTIFS($AB$5:$AB$12,1,$AA$5:$AA$12,AA6,$L$5:$L$12,"&gt;"&amp;L6)+1)</f>
        <v/>
      </c>
      <c r="O6" s="4" t="n">
        <v>1</v>
      </c>
      <c r="P6" s="10">
        <f>IF(INDEX($B$5:$B$12,2)="","2. bye","2. "&amp;INDEX($B$5:$B$12,2))</f>
        <v/>
      </c>
      <c r="Q6" s="11" t="n"/>
      <c r="R6" s="10">
        <f>IF(INDEX($B$5:$B$12,7)="","7. bye","7. "&amp;INDEX($B$5:$B$12,7))</f>
        <v/>
      </c>
      <c r="T6" t="n">
        <v>2</v>
      </c>
      <c r="U6" t="n">
        <v>7</v>
      </c>
      <c r="V6">
        <f>IF(OR(Q6="1-0",Q6="½-½",Q6="0-1"),1,0)</f>
        <v/>
      </c>
      <c r="W6">
        <f>IF(Q6="1-0",1,IF(Q6="½-½",0.5,0))</f>
        <v/>
      </c>
      <c r="X6">
        <f>IF(Q6="0-1",1,IF(Q6="½-½",0.5,0))</f>
        <v/>
      </c>
      <c r="Y6">
        <f>W6*INDEX($AA$5:$AA$12,7)</f>
        <v/>
      </c>
      <c r="Z6">
        <f>X6*INDEX($AA$5:$AA$12,2)</f>
        <v/>
      </c>
      <c r="AA6">
        <f>SUMIF($T$5:$T$32,2,$W$5:$W$32)+SUMIF($U$5:$U$32,2,$X$5:$X$32)</f>
        <v/>
      </c>
      <c r="AB6">
        <f>IF(B6="",0,1)</f>
        <v/>
      </c>
    </row>
    <row r="7">
      <c r="A7" s="4" t="n">
        <v>3</v>
      </c>
      <c r="B7" s="5" t="n"/>
      <c r="C7" s="4">
        <f>IF(COUNTIFS($T$5:$T$32,3,$U$5:$U$32,1,$V$5:$V$32,1)+COUNTIFS($T$5:$T$32,1,$U$5:$U$32,3,$V$5:$V$32,1)=0,"",CHOOSE((SUMIFS($W$5:$W$32,$T$5:$T$32,3,$U$5:$U$32,1)+SUMIFS($X$5:$X$32,$T$5:$T$32,1,$U$5:$U$32,3))*2+1,"0","½","1"))</f>
        <v/>
      </c>
      <c r="D7" s="4">
        <f>IF(COUNTIFS($T$5:$T$32,3,$U$5:$U$32,2,$V$5:$V$32,1)+COUNTIFS($T$5:$T$32,2,$U$5:$U$32,3,$V$5:$V$32,1)=0,"",CHOOSE((SUMIFS($W$5:$W$32,$T$5:$T$32,3,$U$5:$U$32,2)+SUMIFS($X$5:$X$32,$T$5:$T$32,2,$U$5:$U$32,3))*2+1,"0","½","1"))</f>
        <v/>
      </c>
      <c r="E7" s="6" t="n"/>
      <c r="F7" s="4">
        <f>IF(COUNTIFS($T$5:$T$32,3,$U$5:$U$32,4,$V$5:$V$32,1)+COUNTIFS($T$5:$T$32,4,$U$5:$U$32,3,$V$5:$V$32,1)=0,"",CHOOSE((SUMIFS($W$5:$W$32,$T$5:$T$32,3,$U$5:$U$32,4)+SUMIFS($X$5:$X$32,$T$5:$T$32,4,$U$5:$U$32,3))*2+1,"0","½","1"))</f>
        <v/>
      </c>
      <c r="G7" s="4">
        <f>IF(COUNTIFS($T$5:$T$32,3,$U$5:$U$32,5,$V$5:$V$32,1)+COUNTIFS($T$5:$T$32,5,$U$5:$U$32,3,$V$5:$V$32,1)=0,"",CHOOSE((SUMIFS($W$5:$W$32,$T$5:$T$32,3,$U$5:$U$32,5)+SUMIFS($X$5:$X$32,$T$5:$T$32,5,$U$5:$U$32,3))*2+1,"0","½","1"))</f>
        <v/>
      </c>
      <c r="H7" s="4">
        <f>IF(COUNTIFS($T$5:$T$32,3,$U$5:$U$32,6,$V$5:$V$32,1)+COUNTIFS($T$5:$T$32,6,$U$5:$U$32,3,$V$5:$V$32,1)=0,"",CHOOSE((SUMIFS($W$5:$W$32,$T$5:$T$32,3,$U$5:$U$32,6)+SUMIFS($X$5:$X$32,$T$5:$T$32,6,$U$5:$U$32,3))*2+1,"0","½","1"))</f>
        <v/>
      </c>
      <c r="I7" s="4">
        <f>IF(COUNTIFS($T$5:$T$32,3,$U$5:$U$32,7,$V$5:$V$32,1)+COUNTIFS($T$5:$T$32,7,$U$5:$U$32,3,$V$5:$V$32,1)=0,"",CHOOSE((SUMIFS($W$5:$W$32,$T$5:$T$32,3,$U$5:$U$32,7)+SUMIFS($X$5:$X$32,$T$5:$T$32,7,$U$5:$U$32,3))*2+1,"0","½","1"))</f>
        <v/>
      </c>
      <c r="J7" s="4">
        <f>IF(COUNTIFS($T$5:$T$32,3,$U$5:$U$32,8,$V$5:$V$32,1)+COUNTIFS($T$5:$T$32,8,$U$5:$U$32,3,$V$5:$V$32,1)=0,"",CHOOSE((SUMIFS($W$5:$W$32,$T$5:$T$32,3,$U$5:$U$32,8)+SUMIFS($X$5:$X$32,$T$5:$T$32,8,$U$5:$U$32,3))*2+1,"0","½","1"))</f>
        <v/>
      </c>
      <c r="K7" s="7">
        <f>IF(B7="","",AA7)</f>
        <v/>
      </c>
      <c r="L7" s="8">
        <f>IF(B7="","",SUMIF($T$5:$T$32,3,$Y$5:$Y$32)+SUMIF($U$5:$U$32,3,$Z$5:$Z$32))</f>
        <v/>
      </c>
      <c r="M7" s="9">
        <f>IF(B7="","",COUNTIFS($AB$5:$AB$12,1,$AA$5:$AA$12,"&gt;"&amp;AA7)+COUNTIFS($AB$5:$AB$12,1,$AA$5:$AA$12,AA7,$L$5:$L$12,"&gt;"&amp;L7)+1)</f>
        <v/>
      </c>
      <c r="O7" s="4" t="n">
        <v>1</v>
      </c>
      <c r="P7" s="10">
        <f>IF(INDEX($B$5:$B$12,3)="","3. bye","3. "&amp;INDEX($B$5:$B$12,3))</f>
        <v/>
      </c>
      <c r="Q7" s="11" t="n"/>
      <c r="R7" s="10">
        <f>IF(INDEX($B$5:$B$12,6)="","6. bye","6. "&amp;INDEX($B$5:$B$12,6))</f>
        <v/>
      </c>
      <c r="T7" t="n">
        <v>3</v>
      </c>
      <c r="U7" t="n">
        <v>6</v>
      </c>
      <c r="V7">
        <f>IF(OR(Q7="1-0",Q7="½-½",Q7="0-1"),1,0)</f>
        <v/>
      </c>
      <c r="W7">
        <f>IF(Q7="1-0",1,IF(Q7="½-½",0.5,0))</f>
        <v/>
      </c>
      <c r="X7">
        <f>IF(Q7="0-1",1,IF(Q7="½-½",0.5,0))</f>
        <v/>
      </c>
      <c r="Y7">
        <f>W7*INDEX($AA$5:$AA$12,6)</f>
        <v/>
      </c>
      <c r="Z7">
        <f>X7*INDEX($AA$5:$AA$12,3)</f>
        <v/>
      </c>
      <c r="AA7">
        <f>SUMIF($T$5:$T$32,3,$W$5:$W$32)+SUMIF($U$5:$U$32,3,$X$5:$X$32)</f>
        <v/>
      </c>
      <c r="AB7">
        <f>IF(B7="",0,1)</f>
        <v/>
      </c>
    </row>
    <row r="8">
      <c r="A8" s="4" t="n">
        <v>4</v>
      </c>
      <c r="B8" s="5" t="n"/>
      <c r="C8" s="4">
        <f>IF(COUNTIFS($T$5:$T$32,4,$U$5:$U$32,1,$V$5:$V$32,1)+COUNTIFS($T$5:$T$32,1,$U$5:$U$32,4,$V$5:$V$32,1)=0,"",CHOOSE((SUMIFS($W$5:$W$32,$T$5:$T$32,4,$U$5:$U$32,1)+SUMIFS($X$5:$X$32,$T$5:$T$32,1,$U$5:$U$32,4))*2+1,"0","½","1"))</f>
        <v/>
      </c>
      <c r="D8" s="4">
        <f>IF(COUNTIFS($T$5:$T$32,4,$U$5:$U$32,2,$V$5:$V$32,1)+COUNTIFS($T$5:$T$32,2,$U$5:$U$32,4,$V$5:$V$32,1)=0,"",CHOOSE((SUMIFS($W$5:$W$32,$T$5:$T$32,4,$U$5:$U$32,2)+SUMIFS($X$5:$X$32,$T$5:$T$32,2,$U$5:$U$32,4))*2+1,"0","½","1"))</f>
        <v/>
      </c>
      <c r="E8" s="4">
        <f>IF(COUNTIFS($T$5:$T$32,4,$U$5:$U$32,3,$V$5:$V$32,1)+COUNTIFS($T$5:$T$32,3,$U$5:$U$32,4,$V$5:$V$32,1)=0,"",CHOOSE((SUMIFS($W$5:$W$32,$T$5:$T$32,4,$U$5:$U$32,3)+SUMIFS($X$5:$X$32,$T$5:$T$32,3,$U$5:$U$32,4))*2+1,"0","½","1"))</f>
        <v/>
      </c>
      <c r="F8" s="6" t="n"/>
      <c r="G8" s="4">
        <f>IF(COUNTIFS($T$5:$T$32,4,$U$5:$U$32,5,$V$5:$V$32,1)+COUNTIFS($T$5:$T$32,5,$U$5:$U$32,4,$V$5:$V$32,1)=0,"",CHOOSE((SUMIFS($W$5:$W$32,$T$5:$T$32,4,$U$5:$U$32,5)+SUMIFS($X$5:$X$32,$T$5:$T$32,5,$U$5:$U$32,4))*2+1,"0","½","1"))</f>
        <v/>
      </c>
      <c r="H8" s="4">
        <f>IF(COUNTIFS($T$5:$T$32,4,$U$5:$U$32,6,$V$5:$V$32,1)+COUNTIFS($T$5:$T$32,6,$U$5:$U$32,4,$V$5:$V$32,1)=0,"",CHOOSE((SUMIFS($W$5:$W$32,$T$5:$T$32,4,$U$5:$U$32,6)+SUMIFS($X$5:$X$32,$T$5:$T$32,6,$U$5:$U$32,4))*2+1,"0","½","1"))</f>
        <v/>
      </c>
      <c r="I8" s="4">
        <f>IF(COUNTIFS($T$5:$T$32,4,$U$5:$U$32,7,$V$5:$V$32,1)+COUNTIFS($T$5:$T$32,7,$U$5:$U$32,4,$V$5:$V$32,1)=0,"",CHOOSE((SUMIFS($W$5:$W$32,$T$5:$T$32,4,$U$5:$U$32,7)+SUMIFS($X$5:$X$32,$T$5:$T$32,7,$U$5:$U$32,4))*2+1,"0","½","1"))</f>
        <v/>
      </c>
      <c r="J8" s="4">
        <f>IF(COUNTIFS($T$5:$T$32,4,$U$5:$U$32,8,$V$5:$V$32,1)+COUNTIFS($T$5:$T$32,8,$U$5:$U$32,4,$V$5:$V$32,1)=0,"",CHOOSE((SUMIFS($W$5:$W$32,$T$5:$T$32,4,$U$5:$U$32,8)+SUMIFS($X$5:$X$32,$T$5:$T$32,8,$U$5:$U$32,4))*2+1,"0","½","1"))</f>
        <v/>
      </c>
      <c r="K8" s="7">
        <f>IF(B8="","",AA8)</f>
        <v/>
      </c>
      <c r="L8" s="8">
        <f>IF(B8="","",SUMIF($T$5:$T$32,4,$Y$5:$Y$32)+SUMIF($U$5:$U$32,4,$Z$5:$Z$32))</f>
        <v/>
      </c>
      <c r="M8" s="9">
        <f>IF(B8="","",COUNTIFS($AB$5:$AB$12,1,$AA$5:$AA$12,"&gt;"&amp;AA8)+COUNTIFS($AB$5:$AB$12,1,$AA$5:$AA$12,AA8,$L$5:$L$12,"&gt;"&amp;L8)+1)</f>
        <v/>
      </c>
      <c r="O8" s="12" t="n">
        <v>1</v>
      </c>
      <c r="P8" s="13">
        <f>IF(INDEX($B$5:$B$12,4)="","4. bye","4. "&amp;INDEX($B$5:$B$12,4))</f>
        <v/>
      </c>
      <c r="Q8" s="14" t="n"/>
      <c r="R8" s="13">
        <f>IF(INDEX($B$5:$B$12,5)="","5. bye","5. "&amp;INDEX($B$5:$B$12,5))</f>
        <v/>
      </c>
      <c r="T8" t="n">
        <v>4</v>
      </c>
      <c r="U8" t="n">
        <v>5</v>
      </c>
      <c r="V8">
        <f>IF(OR(Q8="1-0",Q8="½-½",Q8="0-1"),1,0)</f>
        <v/>
      </c>
      <c r="W8">
        <f>IF(Q8="1-0",1,IF(Q8="½-½",0.5,0))</f>
        <v/>
      </c>
      <c r="X8">
        <f>IF(Q8="0-1",1,IF(Q8="½-½",0.5,0))</f>
        <v/>
      </c>
      <c r="Y8">
        <f>W8*INDEX($AA$5:$AA$12,5)</f>
        <v/>
      </c>
      <c r="Z8">
        <f>X8*INDEX($AA$5:$AA$12,4)</f>
        <v/>
      </c>
      <c r="AA8">
        <f>SUMIF($T$5:$T$32,4,$W$5:$W$32)+SUMIF($U$5:$U$32,4,$X$5:$X$32)</f>
        <v/>
      </c>
      <c r="AB8">
        <f>IF(B8="",0,1)</f>
        <v/>
      </c>
    </row>
    <row r="9">
      <c r="A9" s="4" t="n">
        <v>5</v>
      </c>
      <c r="B9" s="5" t="n"/>
      <c r="C9" s="4">
        <f>IF(COUNTIFS($T$5:$T$32,5,$U$5:$U$32,1,$V$5:$V$32,1)+COUNTIFS($T$5:$T$32,1,$U$5:$U$32,5,$V$5:$V$32,1)=0,"",CHOOSE((SUMIFS($W$5:$W$32,$T$5:$T$32,5,$U$5:$U$32,1)+SUMIFS($X$5:$X$32,$T$5:$T$32,1,$U$5:$U$32,5))*2+1,"0","½","1"))</f>
        <v/>
      </c>
      <c r="D9" s="4">
        <f>IF(COUNTIFS($T$5:$T$32,5,$U$5:$U$32,2,$V$5:$V$32,1)+COUNTIFS($T$5:$T$32,2,$U$5:$U$32,5,$V$5:$V$32,1)=0,"",CHOOSE((SUMIFS($W$5:$W$32,$T$5:$T$32,5,$U$5:$U$32,2)+SUMIFS($X$5:$X$32,$T$5:$T$32,2,$U$5:$U$32,5))*2+1,"0","½","1"))</f>
        <v/>
      </c>
      <c r="E9" s="4">
        <f>IF(COUNTIFS($T$5:$T$32,5,$U$5:$U$32,3,$V$5:$V$32,1)+COUNTIFS($T$5:$T$32,3,$U$5:$U$32,5,$V$5:$V$32,1)=0,"",CHOOSE((SUMIFS($W$5:$W$32,$T$5:$T$32,5,$U$5:$U$32,3)+SUMIFS($X$5:$X$32,$T$5:$T$32,3,$U$5:$U$32,5))*2+1,"0","½","1"))</f>
        <v/>
      </c>
      <c r="F9" s="4">
        <f>IF(COUNTIFS($T$5:$T$32,5,$U$5:$U$32,4,$V$5:$V$32,1)+COUNTIFS($T$5:$T$32,4,$U$5:$U$32,5,$V$5:$V$32,1)=0,"",CHOOSE((SUMIFS($W$5:$W$32,$T$5:$T$32,5,$U$5:$U$32,4)+SUMIFS($X$5:$X$32,$T$5:$T$32,4,$U$5:$U$32,5))*2+1,"0","½","1"))</f>
        <v/>
      </c>
      <c r="G9" s="6" t="n"/>
      <c r="H9" s="4">
        <f>IF(COUNTIFS($T$5:$T$32,5,$U$5:$U$32,6,$V$5:$V$32,1)+COUNTIFS($T$5:$T$32,6,$U$5:$U$32,5,$V$5:$V$32,1)=0,"",CHOOSE((SUMIFS($W$5:$W$32,$T$5:$T$32,5,$U$5:$U$32,6)+SUMIFS($X$5:$X$32,$T$5:$T$32,6,$U$5:$U$32,5))*2+1,"0","½","1"))</f>
        <v/>
      </c>
      <c r="I9" s="4">
        <f>IF(COUNTIFS($T$5:$T$32,5,$U$5:$U$32,7,$V$5:$V$32,1)+COUNTIFS($T$5:$T$32,7,$U$5:$U$32,5,$V$5:$V$32,1)=0,"",CHOOSE((SUMIFS($W$5:$W$32,$T$5:$T$32,5,$U$5:$U$32,7)+SUMIFS($X$5:$X$32,$T$5:$T$32,7,$U$5:$U$32,5))*2+1,"0","½","1"))</f>
        <v/>
      </c>
      <c r="J9" s="4">
        <f>IF(COUNTIFS($T$5:$T$32,5,$U$5:$U$32,8,$V$5:$V$32,1)+COUNTIFS($T$5:$T$32,8,$U$5:$U$32,5,$V$5:$V$32,1)=0,"",CHOOSE((SUMIFS($W$5:$W$32,$T$5:$T$32,5,$U$5:$U$32,8)+SUMIFS($X$5:$X$32,$T$5:$T$32,8,$U$5:$U$32,5))*2+1,"0","½","1"))</f>
        <v/>
      </c>
      <c r="K9" s="7">
        <f>IF(B9="","",AA9)</f>
        <v/>
      </c>
      <c r="L9" s="8">
        <f>IF(B9="","",SUMIF($T$5:$T$32,5,$Y$5:$Y$32)+SUMIF($U$5:$U$32,5,$Z$5:$Z$32))</f>
        <v/>
      </c>
      <c r="M9" s="9">
        <f>IF(B9="","",COUNTIFS($AB$5:$AB$12,1,$AA$5:$AA$12,"&gt;"&amp;AA9)+COUNTIFS($AB$5:$AB$12,1,$AA$5:$AA$12,AA9,$L$5:$L$12,"&gt;"&amp;L9)+1)</f>
        <v/>
      </c>
      <c r="O9" s="4" t="n">
        <v>2</v>
      </c>
      <c r="P9" s="10">
        <f>IF(INDEX($B$5:$B$12,8)="","8. bye","8. "&amp;INDEX($B$5:$B$12,8))</f>
        <v/>
      </c>
      <c r="Q9" s="11" t="n"/>
      <c r="R9" s="10">
        <f>IF(INDEX($B$5:$B$12,5)="","5. bye","5. "&amp;INDEX($B$5:$B$12,5))</f>
        <v/>
      </c>
      <c r="T9" t="n">
        <v>8</v>
      </c>
      <c r="U9" t="n">
        <v>5</v>
      </c>
      <c r="V9">
        <f>IF(OR(Q9="1-0",Q9="½-½",Q9="0-1"),1,0)</f>
        <v/>
      </c>
      <c r="W9">
        <f>IF(Q9="1-0",1,IF(Q9="½-½",0.5,0))</f>
        <v/>
      </c>
      <c r="X9">
        <f>IF(Q9="0-1",1,IF(Q9="½-½",0.5,0))</f>
        <v/>
      </c>
      <c r="Y9">
        <f>W9*INDEX($AA$5:$AA$12,5)</f>
        <v/>
      </c>
      <c r="Z9">
        <f>X9*INDEX($AA$5:$AA$12,8)</f>
        <v/>
      </c>
      <c r="AA9">
        <f>SUMIF($T$5:$T$32,5,$W$5:$W$32)+SUMIF($U$5:$U$32,5,$X$5:$X$32)</f>
        <v/>
      </c>
      <c r="AB9">
        <f>IF(B9="",0,1)</f>
        <v/>
      </c>
    </row>
    <row r="10">
      <c r="A10" s="4" t="n">
        <v>6</v>
      </c>
      <c r="B10" s="5" t="n"/>
      <c r="C10" s="4">
        <f>IF(COUNTIFS($T$5:$T$32,6,$U$5:$U$32,1,$V$5:$V$32,1)+COUNTIFS($T$5:$T$32,1,$U$5:$U$32,6,$V$5:$V$32,1)=0,"",CHOOSE((SUMIFS($W$5:$W$32,$T$5:$T$32,6,$U$5:$U$32,1)+SUMIFS($X$5:$X$32,$T$5:$T$32,1,$U$5:$U$32,6))*2+1,"0","½","1"))</f>
        <v/>
      </c>
      <c r="D10" s="4">
        <f>IF(COUNTIFS($T$5:$T$32,6,$U$5:$U$32,2,$V$5:$V$32,1)+COUNTIFS($T$5:$T$32,2,$U$5:$U$32,6,$V$5:$V$32,1)=0,"",CHOOSE((SUMIFS($W$5:$W$32,$T$5:$T$32,6,$U$5:$U$32,2)+SUMIFS($X$5:$X$32,$T$5:$T$32,2,$U$5:$U$32,6))*2+1,"0","½","1"))</f>
        <v/>
      </c>
      <c r="E10" s="4">
        <f>IF(COUNTIFS($T$5:$T$32,6,$U$5:$U$32,3,$V$5:$V$32,1)+COUNTIFS($T$5:$T$32,3,$U$5:$U$32,6,$V$5:$V$32,1)=0,"",CHOOSE((SUMIFS($W$5:$W$32,$T$5:$T$32,6,$U$5:$U$32,3)+SUMIFS($X$5:$X$32,$T$5:$T$32,3,$U$5:$U$32,6))*2+1,"0","½","1"))</f>
        <v/>
      </c>
      <c r="F10" s="4">
        <f>IF(COUNTIFS($T$5:$T$32,6,$U$5:$U$32,4,$V$5:$V$32,1)+COUNTIFS($T$5:$T$32,4,$U$5:$U$32,6,$V$5:$V$32,1)=0,"",CHOOSE((SUMIFS($W$5:$W$32,$T$5:$T$32,6,$U$5:$U$32,4)+SUMIFS($X$5:$X$32,$T$5:$T$32,4,$U$5:$U$32,6))*2+1,"0","½","1"))</f>
        <v/>
      </c>
      <c r="G10" s="4">
        <f>IF(COUNTIFS($T$5:$T$32,6,$U$5:$U$32,5,$V$5:$V$32,1)+COUNTIFS($T$5:$T$32,5,$U$5:$U$32,6,$V$5:$V$32,1)=0,"",CHOOSE((SUMIFS($W$5:$W$32,$T$5:$T$32,6,$U$5:$U$32,5)+SUMIFS($X$5:$X$32,$T$5:$T$32,5,$U$5:$U$32,6))*2+1,"0","½","1"))</f>
        <v/>
      </c>
      <c r="H10" s="6" t="n"/>
      <c r="I10" s="4">
        <f>IF(COUNTIFS($T$5:$T$32,6,$U$5:$U$32,7,$V$5:$V$32,1)+COUNTIFS($T$5:$T$32,7,$U$5:$U$32,6,$V$5:$V$32,1)=0,"",CHOOSE((SUMIFS($W$5:$W$32,$T$5:$T$32,6,$U$5:$U$32,7)+SUMIFS($X$5:$X$32,$T$5:$T$32,7,$U$5:$U$32,6))*2+1,"0","½","1"))</f>
        <v/>
      </c>
      <c r="J10" s="4">
        <f>IF(COUNTIFS($T$5:$T$32,6,$U$5:$U$32,8,$V$5:$V$32,1)+COUNTIFS($T$5:$T$32,8,$U$5:$U$32,6,$V$5:$V$32,1)=0,"",CHOOSE((SUMIFS($W$5:$W$32,$T$5:$T$32,6,$U$5:$U$32,8)+SUMIFS($X$5:$X$32,$T$5:$T$32,8,$U$5:$U$32,6))*2+1,"0","½","1"))</f>
        <v/>
      </c>
      <c r="K10" s="7">
        <f>IF(B10="","",AA10)</f>
        <v/>
      </c>
      <c r="L10" s="8">
        <f>IF(B10="","",SUMIF($T$5:$T$32,6,$Y$5:$Y$32)+SUMIF($U$5:$U$32,6,$Z$5:$Z$32))</f>
        <v/>
      </c>
      <c r="M10" s="9">
        <f>IF(B10="","",COUNTIFS($AB$5:$AB$12,1,$AA$5:$AA$12,"&gt;"&amp;AA10)+COUNTIFS($AB$5:$AB$12,1,$AA$5:$AA$12,AA10,$L$5:$L$12,"&gt;"&amp;L10)+1)</f>
        <v/>
      </c>
      <c r="O10" s="4" t="n">
        <v>2</v>
      </c>
      <c r="P10" s="10">
        <f>IF(INDEX($B$5:$B$12,6)="","6. bye","6. "&amp;INDEX($B$5:$B$12,6))</f>
        <v/>
      </c>
      <c r="Q10" s="11" t="n"/>
      <c r="R10" s="10">
        <f>IF(INDEX($B$5:$B$12,4)="","4. bye","4. "&amp;INDEX($B$5:$B$12,4))</f>
        <v/>
      </c>
      <c r="T10" t="n">
        <v>6</v>
      </c>
      <c r="U10" t="n">
        <v>4</v>
      </c>
      <c r="V10">
        <f>IF(OR(Q10="1-0",Q10="½-½",Q10="0-1"),1,0)</f>
        <v/>
      </c>
      <c r="W10">
        <f>IF(Q10="1-0",1,IF(Q10="½-½",0.5,0))</f>
        <v/>
      </c>
      <c r="X10">
        <f>IF(Q10="0-1",1,IF(Q10="½-½",0.5,0))</f>
        <v/>
      </c>
      <c r="Y10">
        <f>W10*INDEX($AA$5:$AA$12,4)</f>
        <v/>
      </c>
      <c r="Z10">
        <f>X10*INDEX($AA$5:$AA$12,6)</f>
        <v/>
      </c>
      <c r="AA10">
        <f>SUMIF($T$5:$T$32,6,$W$5:$W$32)+SUMIF($U$5:$U$32,6,$X$5:$X$32)</f>
        <v/>
      </c>
      <c r="AB10">
        <f>IF(B10="",0,1)</f>
        <v/>
      </c>
    </row>
    <row r="11">
      <c r="A11" s="4" t="n">
        <v>7</v>
      </c>
      <c r="B11" s="5" t="n"/>
      <c r="C11" s="4">
        <f>IF(COUNTIFS($T$5:$T$32,7,$U$5:$U$32,1,$V$5:$V$32,1)+COUNTIFS($T$5:$T$32,1,$U$5:$U$32,7,$V$5:$V$32,1)=0,"",CHOOSE((SUMIFS($W$5:$W$32,$T$5:$T$32,7,$U$5:$U$32,1)+SUMIFS($X$5:$X$32,$T$5:$T$32,1,$U$5:$U$32,7))*2+1,"0","½","1"))</f>
        <v/>
      </c>
      <c r="D11" s="4">
        <f>IF(COUNTIFS($T$5:$T$32,7,$U$5:$U$32,2,$V$5:$V$32,1)+COUNTIFS($T$5:$T$32,2,$U$5:$U$32,7,$V$5:$V$32,1)=0,"",CHOOSE((SUMIFS($W$5:$W$32,$T$5:$T$32,7,$U$5:$U$32,2)+SUMIFS($X$5:$X$32,$T$5:$T$32,2,$U$5:$U$32,7))*2+1,"0","½","1"))</f>
        <v/>
      </c>
      <c r="E11" s="4">
        <f>IF(COUNTIFS($T$5:$T$32,7,$U$5:$U$32,3,$V$5:$V$32,1)+COUNTIFS($T$5:$T$32,3,$U$5:$U$32,7,$V$5:$V$32,1)=0,"",CHOOSE((SUMIFS($W$5:$W$32,$T$5:$T$32,7,$U$5:$U$32,3)+SUMIFS($X$5:$X$32,$T$5:$T$32,3,$U$5:$U$32,7))*2+1,"0","½","1"))</f>
        <v/>
      </c>
      <c r="F11" s="4">
        <f>IF(COUNTIFS($T$5:$T$32,7,$U$5:$U$32,4,$V$5:$V$32,1)+COUNTIFS($T$5:$T$32,4,$U$5:$U$32,7,$V$5:$V$32,1)=0,"",CHOOSE((SUMIFS($W$5:$W$32,$T$5:$T$32,7,$U$5:$U$32,4)+SUMIFS($X$5:$X$32,$T$5:$T$32,4,$U$5:$U$32,7))*2+1,"0","½","1"))</f>
        <v/>
      </c>
      <c r="G11" s="4">
        <f>IF(COUNTIFS($T$5:$T$32,7,$U$5:$U$32,5,$V$5:$V$32,1)+COUNTIFS($T$5:$T$32,5,$U$5:$U$32,7,$V$5:$V$32,1)=0,"",CHOOSE((SUMIFS($W$5:$W$32,$T$5:$T$32,7,$U$5:$U$32,5)+SUMIFS($X$5:$X$32,$T$5:$T$32,5,$U$5:$U$32,7))*2+1,"0","½","1"))</f>
        <v/>
      </c>
      <c r="H11" s="4">
        <f>IF(COUNTIFS($T$5:$T$32,7,$U$5:$U$32,6,$V$5:$V$32,1)+COUNTIFS($T$5:$T$32,6,$U$5:$U$32,7,$V$5:$V$32,1)=0,"",CHOOSE((SUMIFS($W$5:$W$32,$T$5:$T$32,7,$U$5:$U$32,6)+SUMIFS($X$5:$X$32,$T$5:$T$32,6,$U$5:$U$32,7))*2+1,"0","½","1"))</f>
        <v/>
      </c>
      <c r="I11" s="6" t="n"/>
      <c r="J11" s="4">
        <f>IF(COUNTIFS($T$5:$T$32,7,$U$5:$U$32,8,$V$5:$V$32,1)+COUNTIFS($T$5:$T$32,8,$U$5:$U$32,7,$V$5:$V$32,1)=0,"",CHOOSE((SUMIFS($W$5:$W$32,$T$5:$T$32,7,$U$5:$U$32,8)+SUMIFS($X$5:$X$32,$T$5:$T$32,8,$U$5:$U$32,7))*2+1,"0","½","1"))</f>
        <v/>
      </c>
      <c r="K11" s="7">
        <f>IF(B11="","",AA11)</f>
        <v/>
      </c>
      <c r="L11" s="8">
        <f>IF(B11="","",SUMIF($T$5:$T$32,7,$Y$5:$Y$32)+SUMIF($U$5:$U$32,7,$Z$5:$Z$32))</f>
        <v/>
      </c>
      <c r="M11" s="9">
        <f>IF(B11="","",COUNTIFS($AB$5:$AB$12,1,$AA$5:$AA$12,"&gt;"&amp;AA11)+COUNTIFS($AB$5:$AB$12,1,$AA$5:$AA$12,AA11,$L$5:$L$12,"&gt;"&amp;L11)+1)</f>
        <v/>
      </c>
      <c r="O11" s="4" t="n">
        <v>2</v>
      </c>
      <c r="P11" s="10">
        <f>IF(INDEX($B$5:$B$12,7)="","7. bye","7. "&amp;INDEX($B$5:$B$12,7))</f>
        <v/>
      </c>
      <c r="Q11" s="11" t="n"/>
      <c r="R11" s="10">
        <f>IF(INDEX($B$5:$B$12,3)="","3. bye","3. "&amp;INDEX($B$5:$B$12,3))</f>
        <v/>
      </c>
      <c r="T11" t="n">
        <v>7</v>
      </c>
      <c r="U11" t="n">
        <v>3</v>
      </c>
      <c r="V11">
        <f>IF(OR(Q11="1-0",Q11="½-½",Q11="0-1"),1,0)</f>
        <v/>
      </c>
      <c r="W11">
        <f>IF(Q11="1-0",1,IF(Q11="½-½",0.5,0))</f>
        <v/>
      </c>
      <c r="X11">
        <f>IF(Q11="0-1",1,IF(Q11="½-½",0.5,0))</f>
        <v/>
      </c>
      <c r="Y11">
        <f>W11*INDEX($AA$5:$AA$12,3)</f>
        <v/>
      </c>
      <c r="Z11">
        <f>X11*INDEX($AA$5:$AA$12,7)</f>
        <v/>
      </c>
      <c r="AA11">
        <f>SUMIF($T$5:$T$32,7,$W$5:$W$32)+SUMIF($U$5:$U$32,7,$X$5:$X$32)</f>
        <v/>
      </c>
      <c r="AB11">
        <f>IF(B11="",0,1)</f>
        <v/>
      </c>
    </row>
    <row r="12">
      <c r="A12" s="4" t="n">
        <v>8</v>
      </c>
      <c r="B12" s="5" t="n"/>
      <c r="C12" s="4">
        <f>IF(COUNTIFS($T$5:$T$32,8,$U$5:$U$32,1,$V$5:$V$32,1)+COUNTIFS($T$5:$T$32,1,$U$5:$U$32,8,$V$5:$V$32,1)=0,"",CHOOSE((SUMIFS($W$5:$W$32,$T$5:$T$32,8,$U$5:$U$32,1)+SUMIFS($X$5:$X$32,$T$5:$T$32,1,$U$5:$U$32,8))*2+1,"0","½","1"))</f>
        <v/>
      </c>
      <c r="D12" s="4">
        <f>IF(COUNTIFS($T$5:$T$32,8,$U$5:$U$32,2,$V$5:$V$32,1)+COUNTIFS($T$5:$T$32,2,$U$5:$U$32,8,$V$5:$V$32,1)=0,"",CHOOSE((SUMIFS($W$5:$W$32,$T$5:$T$32,8,$U$5:$U$32,2)+SUMIFS($X$5:$X$32,$T$5:$T$32,2,$U$5:$U$32,8))*2+1,"0","½","1"))</f>
        <v/>
      </c>
      <c r="E12" s="4">
        <f>IF(COUNTIFS($T$5:$T$32,8,$U$5:$U$32,3,$V$5:$V$32,1)+COUNTIFS($T$5:$T$32,3,$U$5:$U$32,8,$V$5:$V$32,1)=0,"",CHOOSE((SUMIFS($W$5:$W$32,$T$5:$T$32,8,$U$5:$U$32,3)+SUMIFS($X$5:$X$32,$T$5:$T$32,3,$U$5:$U$32,8))*2+1,"0","½","1"))</f>
        <v/>
      </c>
      <c r="F12" s="4">
        <f>IF(COUNTIFS($T$5:$T$32,8,$U$5:$U$32,4,$V$5:$V$32,1)+COUNTIFS($T$5:$T$32,4,$U$5:$U$32,8,$V$5:$V$32,1)=0,"",CHOOSE((SUMIFS($W$5:$W$32,$T$5:$T$32,8,$U$5:$U$32,4)+SUMIFS($X$5:$X$32,$T$5:$T$32,4,$U$5:$U$32,8))*2+1,"0","½","1"))</f>
        <v/>
      </c>
      <c r="G12" s="4">
        <f>IF(COUNTIFS($T$5:$T$32,8,$U$5:$U$32,5,$V$5:$V$32,1)+COUNTIFS($T$5:$T$32,5,$U$5:$U$32,8,$V$5:$V$32,1)=0,"",CHOOSE((SUMIFS($W$5:$W$32,$T$5:$T$32,8,$U$5:$U$32,5)+SUMIFS($X$5:$X$32,$T$5:$T$32,5,$U$5:$U$32,8))*2+1,"0","½","1"))</f>
        <v/>
      </c>
      <c r="H12" s="4">
        <f>IF(COUNTIFS($T$5:$T$32,8,$U$5:$U$32,6,$V$5:$V$32,1)+COUNTIFS($T$5:$T$32,6,$U$5:$U$32,8,$V$5:$V$32,1)=0,"",CHOOSE((SUMIFS($W$5:$W$32,$T$5:$T$32,8,$U$5:$U$32,6)+SUMIFS($X$5:$X$32,$T$5:$T$32,6,$U$5:$U$32,8))*2+1,"0","½","1"))</f>
        <v/>
      </c>
      <c r="I12" s="4">
        <f>IF(COUNTIFS($T$5:$T$32,8,$U$5:$U$32,7,$V$5:$V$32,1)+COUNTIFS($T$5:$T$32,7,$U$5:$U$32,8,$V$5:$V$32,1)=0,"",CHOOSE((SUMIFS($W$5:$W$32,$T$5:$T$32,8,$U$5:$U$32,7)+SUMIFS($X$5:$X$32,$T$5:$T$32,7,$U$5:$U$32,8))*2+1,"0","½","1"))</f>
        <v/>
      </c>
      <c r="J12" s="6" t="n"/>
      <c r="K12" s="7">
        <f>IF(B12="","",AA12)</f>
        <v/>
      </c>
      <c r="L12" s="8">
        <f>IF(B12="","",SUMIF($T$5:$T$32,8,$Y$5:$Y$32)+SUMIF($U$5:$U$32,8,$Z$5:$Z$32))</f>
        <v/>
      </c>
      <c r="M12" s="9">
        <f>IF(B12="","",COUNTIFS($AB$5:$AB$12,1,$AA$5:$AA$12,"&gt;"&amp;AA12)+COUNTIFS($AB$5:$AB$12,1,$AA$5:$AA$12,AA12,$L$5:$L$12,"&gt;"&amp;L12)+1)</f>
        <v/>
      </c>
      <c r="O12" s="12" t="n">
        <v>2</v>
      </c>
      <c r="P12" s="13">
        <f>IF(INDEX($B$5:$B$12,1)="","1. bye","1. "&amp;INDEX($B$5:$B$12,1))</f>
        <v/>
      </c>
      <c r="Q12" s="14" t="n"/>
      <c r="R12" s="13">
        <f>IF(INDEX($B$5:$B$12,2)="","2. bye","2. "&amp;INDEX($B$5:$B$12,2))</f>
        <v/>
      </c>
      <c r="T12" t="n">
        <v>1</v>
      </c>
      <c r="U12" t="n">
        <v>2</v>
      </c>
      <c r="V12">
        <f>IF(OR(Q12="1-0",Q12="½-½",Q12="0-1"),1,0)</f>
        <v/>
      </c>
      <c r="W12">
        <f>IF(Q12="1-0",1,IF(Q12="½-½",0.5,0))</f>
        <v/>
      </c>
      <c r="X12">
        <f>IF(Q12="0-1",1,IF(Q12="½-½",0.5,0))</f>
        <v/>
      </c>
      <c r="Y12">
        <f>W12*INDEX($AA$5:$AA$12,2)</f>
        <v/>
      </c>
      <c r="Z12">
        <f>X12*INDEX($AA$5:$AA$12,1)</f>
        <v/>
      </c>
      <c r="AA12">
        <f>SUMIF($T$5:$T$32,8,$W$5:$W$32)+SUMIF($U$5:$U$32,8,$X$5:$X$32)</f>
        <v/>
      </c>
      <c r="AB12">
        <f>IF(B12="",0,1)</f>
        <v/>
      </c>
    </row>
    <row r="13">
      <c r="O13" s="4" t="n">
        <v>3</v>
      </c>
      <c r="P13" s="10">
        <f>IF(INDEX($B$5:$B$12,2)="","2. bye","2. "&amp;INDEX($B$5:$B$12,2))</f>
        <v/>
      </c>
      <c r="Q13" s="11" t="n"/>
      <c r="R13" s="10">
        <f>IF(INDEX($B$5:$B$12,8)="","8. bye","8. "&amp;INDEX($B$5:$B$12,8))</f>
        <v/>
      </c>
      <c r="T13" t="n">
        <v>2</v>
      </c>
      <c r="U13" t="n">
        <v>8</v>
      </c>
      <c r="V13">
        <f>IF(OR(Q13="1-0",Q13="½-½",Q13="0-1"),1,0)</f>
        <v/>
      </c>
      <c r="W13">
        <f>IF(Q13="1-0",1,IF(Q13="½-½",0.5,0))</f>
        <v/>
      </c>
      <c r="X13">
        <f>IF(Q13="0-1",1,IF(Q13="½-½",0.5,0))</f>
        <v/>
      </c>
      <c r="Y13">
        <f>W13*INDEX($AA$5:$AA$12,8)</f>
        <v/>
      </c>
      <c r="Z13">
        <f>X13*INDEX($AA$5:$AA$12,2)</f>
        <v/>
      </c>
    </row>
    <row r="14">
      <c r="O14" s="4" t="n">
        <v>3</v>
      </c>
      <c r="P14" s="10">
        <f>IF(INDEX($B$5:$B$12,3)="","3. bye","3. "&amp;INDEX($B$5:$B$12,3))</f>
        <v/>
      </c>
      <c r="Q14" s="11" t="n"/>
      <c r="R14" s="10">
        <f>IF(INDEX($B$5:$B$12,1)="","1. bye","1. "&amp;INDEX($B$5:$B$12,1))</f>
        <v/>
      </c>
      <c r="T14" t="n">
        <v>3</v>
      </c>
      <c r="U14" t="n">
        <v>1</v>
      </c>
      <c r="V14">
        <f>IF(OR(Q14="1-0",Q14="½-½",Q14="0-1"),1,0)</f>
        <v/>
      </c>
      <c r="W14">
        <f>IF(Q14="1-0",1,IF(Q14="½-½",0.5,0))</f>
        <v/>
      </c>
      <c r="X14">
        <f>IF(Q14="0-1",1,IF(Q14="½-½",0.5,0))</f>
        <v/>
      </c>
      <c r="Y14">
        <f>W14*INDEX($AA$5:$AA$12,1)</f>
        <v/>
      </c>
      <c r="Z14">
        <f>X14*INDEX($AA$5:$AA$12,3)</f>
        <v/>
      </c>
    </row>
    <row r="15">
      <c r="O15" s="4" t="n">
        <v>3</v>
      </c>
      <c r="P15" s="10">
        <f>IF(INDEX($B$5:$B$12,4)="","4. bye","4. "&amp;INDEX($B$5:$B$12,4))</f>
        <v/>
      </c>
      <c r="Q15" s="11" t="n"/>
      <c r="R15" s="10">
        <f>IF(INDEX($B$5:$B$12,7)="","7. bye","7. "&amp;INDEX($B$5:$B$12,7))</f>
        <v/>
      </c>
      <c r="T15" t="n">
        <v>4</v>
      </c>
      <c r="U15" t="n">
        <v>7</v>
      </c>
      <c r="V15">
        <f>IF(OR(Q15="1-0",Q15="½-½",Q15="0-1"),1,0)</f>
        <v/>
      </c>
      <c r="W15">
        <f>IF(Q15="1-0",1,IF(Q15="½-½",0.5,0))</f>
        <v/>
      </c>
      <c r="X15">
        <f>IF(Q15="0-1",1,IF(Q15="½-½",0.5,0))</f>
        <v/>
      </c>
      <c r="Y15">
        <f>W15*INDEX($AA$5:$AA$12,7)</f>
        <v/>
      </c>
      <c r="Z15">
        <f>X15*INDEX($AA$5:$AA$12,4)</f>
        <v/>
      </c>
    </row>
    <row r="16">
      <c r="O16" s="12" t="n">
        <v>3</v>
      </c>
      <c r="P16" s="13">
        <f>IF(INDEX($B$5:$B$12,5)="","5. bye","5. "&amp;INDEX($B$5:$B$12,5))</f>
        <v/>
      </c>
      <c r="Q16" s="14" t="n"/>
      <c r="R16" s="13">
        <f>IF(INDEX($B$5:$B$12,6)="","6. bye","6. "&amp;INDEX($B$5:$B$12,6))</f>
        <v/>
      </c>
      <c r="T16" t="n">
        <v>5</v>
      </c>
      <c r="U16" t="n">
        <v>6</v>
      </c>
      <c r="V16">
        <f>IF(OR(Q16="1-0",Q16="½-½",Q16="0-1"),1,0)</f>
        <v/>
      </c>
      <c r="W16">
        <f>IF(Q16="1-0",1,IF(Q16="½-½",0.5,0))</f>
        <v/>
      </c>
      <c r="X16">
        <f>IF(Q16="0-1",1,IF(Q16="½-½",0.5,0))</f>
        <v/>
      </c>
      <c r="Y16">
        <f>W16*INDEX($AA$5:$AA$12,6)</f>
        <v/>
      </c>
      <c r="Z16">
        <f>X16*INDEX($AA$5:$AA$12,5)</f>
        <v/>
      </c>
    </row>
    <row r="17">
      <c r="O17" s="4" t="n">
        <v>4</v>
      </c>
      <c r="P17" s="10">
        <f>IF(INDEX($B$5:$B$12,8)="","8. bye","8. "&amp;INDEX($B$5:$B$12,8))</f>
        <v/>
      </c>
      <c r="Q17" s="11" t="n"/>
      <c r="R17" s="10">
        <f>IF(INDEX($B$5:$B$12,6)="","6. bye","6. "&amp;INDEX($B$5:$B$12,6))</f>
        <v/>
      </c>
      <c r="T17" t="n">
        <v>8</v>
      </c>
      <c r="U17" t="n">
        <v>6</v>
      </c>
      <c r="V17">
        <f>IF(OR(Q17="1-0",Q17="½-½",Q17="0-1"),1,0)</f>
        <v/>
      </c>
      <c r="W17">
        <f>IF(Q17="1-0",1,IF(Q17="½-½",0.5,0))</f>
        <v/>
      </c>
      <c r="X17">
        <f>IF(Q17="0-1",1,IF(Q17="½-½",0.5,0))</f>
        <v/>
      </c>
      <c r="Y17">
        <f>W17*INDEX($AA$5:$AA$12,6)</f>
        <v/>
      </c>
      <c r="Z17">
        <f>X17*INDEX($AA$5:$AA$12,8)</f>
        <v/>
      </c>
    </row>
    <row r="18">
      <c r="O18" s="4" t="n">
        <v>4</v>
      </c>
      <c r="P18" s="10">
        <f>IF(INDEX($B$5:$B$12,7)="","7. bye","7. "&amp;INDEX($B$5:$B$12,7))</f>
        <v/>
      </c>
      <c r="Q18" s="11" t="n"/>
      <c r="R18" s="10">
        <f>IF(INDEX($B$5:$B$12,5)="","5. bye","5. "&amp;INDEX($B$5:$B$12,5))</f>
        <v/>
      </c>
      <c r="T18" t="n">
        <v>7</v>
      </c>
      <c r="U18" t="n">
        <v>5</v>
      </c>
      <c r="V18">
        <f>IF(OR(Q18="1-0",Q18="½-½",Q18="0-1"),1,0)</f>
        <v/>
      </c>
      <c r="W18">
        <f>IF(Q18="1-0",1,IF(Q18="½-½",0.5,0))</f>
        <v/>
      </c>
      <c r="X18">
        <f>IF(Q18="0-1",1,IF(Q18="½-½",0.5,0))</f>
        <v/>
      </c>
      <c r="Y18">
        <f>W18*INDEX($AA$5:$AA$12,5)</f>
        <v/>
      </c>
      <c r="Z18">
        <f>X18*INDEX($AA$5:$AA$12,7)</f>
        <v/>
      </c>
    </row>
    <row r="19">
      <c r="O19" s="4" t="n">
        <v>4</v>
      </c>
      <c r="P19" s="10">
        <f>IF(INDEX($B$5:$B$12,1)="","1. bye","1. "&amp;INDEX($B$5:$B$12,1))</f>
        <v/>
      </c>
      <c r="Q19" s="11" t="n"/>
      <c r="R19" s="10">
        <f>IF(INDEX($B$5:$B$12,4)="","4. bye","4. "&amp;INDEX($B$5:$B$12,4))</f>
        <v/>
      </c>
      <c r="T19" t="n">
        <v>1</v>
      </c>
      <c r="U19" t="n">
        <v>4</v>
      </c>
      <c r="V19">
        <f>IF(OR(Q19="1-0",Q19="½-½",Q19="0-1"),1,0)</f>
        <v/>
      </c>
      <c r="W19">
        <f>IF(Q19="1-0",1,IF(Q19="½-½",0.5,0))</f>
        <v/>
      </c>
      <c r="X19">
        <f>IF(Q19="0-1",1,IF(Q19="½-½",0.5,0))</f>
        <v/>
      </c>
      <c r="Y19">
        <f>W19*INDEX($AA$5:$AA$12,4)</f>
        <v/>
      </c>
      <c r="Z19">
        <f>X19*INDEX($AA$5:$AA$12,1)</f>
        <v/>
      </c>
    </row>
    <row r="20">
      <c r="O20" s="12" t="n">
        <v>4</v>
      </c>
      <c r="P20" s="13">
        <f>IF(INDEX($B$5:$B$12,2)="","2. bye","2. "&amp;INDEX($B$5:$B$12,2))</f>
        <v/>
      </c>
      <c r="Q20" s="14" t="n"/>
      <c r="R20" s="13">
        <f>IF(INDEX($B$5:$B$12,3)="","3. bye","3. "&amp;INDEX($B$5:$B$12,3))</f>
        <v/>
      </c>
      <c r="T20" t="n">
        <v>2</v>
      </c>
      <c r="U20" t="n">
        <v>3</v>
      </c>
      <c r="V20">
        <f>IF(OR(Q20="1-0",Q20="½-½",Q20="0-1"),1,0)</f>
        <v/>
      </c>
      <c r="W20">
        <f>IF(Q20="1-0",1,IF(Q20="½-½",0.5,0))</f>
        <v/>
      </c>
      <c r="X20">
        <f>IF(Q20="0-1",1,IF(Q20="½-½",0.5,0))</f>
        <v/>
      </c>
      <c r="Y20">
        <f>W20*INDEX($AA$5:$AA$12,3)</f>
        <v/>
      </c>
      <c r="Z20">
        <f>X20*INDEX($AA$5:$AA$12,2)</f>
        <v/>
      </c>
    </row>
    <row r="21">
      <c r="O21" s="4" t="n">
        <v>5</v>
      </c>
      <c r="P21" s="10">
        <f>IF(INDEX($B$5:$B$12,3)="","3. bye","3. "&amp;INDEX($B$5:$B$12,3))</f>
        <v/>
      </c>
      <c r="Q21" s="11" t="n"/>
      <c r="R21" s="10">
        <f>IF(INDEX($B$5:$B$12,8)="","8. bye","8. "&amp;INDEX($B$5:$B$12,8))</f>
        <v/>
      </c>
      <c r="T21" t="n">
        <v>3</v>
      </c>
      <c r="U21" t="n">
        <v>8</v>
      </c>
      <c r="V21">
        <f>IF(OR(Q21="1-0",Q21="½-½",Q21="0-1"),1,0)</f>
        <v/>
      </c>
      <c r="W21">
        <f>IF(Q21="1-0",1,IF(Q21="½-½",0.5,0))</f>
        <v/>
      </c>
      <c r="X21">
        <f>IF(Q21="0-1",1,IF(Q21="½-½",0.5,0))</f>
        <v/>
      </c>
      <c r="Y21">
        <f>W21*INDEX($AA$5:$AA$12,8)</f>
        <v/>
      </c>
      <c r="Z21">
        <f>X21*INDEX($AA$5:$AA$12,3)</f>
        <v/>
      </c>
    </row>
    <row r="22">
      <c r="O22" s="4" t="n">
        <v>5</v>
      </c>
      <c r="P22" s="10">
        <f>IF(INDEX($B$5:$B$12,4)="","4. bye","4. "&amp;INDEX($B$5:$B$12,4))</f>
        <v/>
      </c>
      <c r="Q22" s="11" t="n"/>
      <c r="R22" s="10">
        <f>IF(INDEX($B$5:$B$12,2)="","2. bye","2. "&amp;INDEX($B$5:$B$12,2))</f>
        <v/>
      </c>
      <c r="T22" t="n">
        <v>4</v>
      </c>
      <c r="U22" t="n">
        <v>2</v>
      </c>
      <c r="V22">
        <f>IF(OR(Q22="1-0",Q22="½-½",Q22="0-1"),1,0)</f>
        <v/>
      </c>
      <c r="W22">
        <f>IF(Q22="1-0",1,IF(Q22="½-½",0.5,0))</f>
        <v/>
      </c>
      <c r="X22">
        <f>IF(Q22="0-1",1,IF(Q22="½-½",0.5,0))</f>
        <v/>
      </c>
      <c r="Y22">
        <f>W22*INDEX($AA$5:$AA$12,2)</f>
        <v/>
      </c>
      <c r="Z22">
        <f>X22*INDEX($AA$5:$AA$12,4)</f>
        <v/>
      </c>
    </row>
    <row r="23">
      <c r="O23" s="4" t="n">
        <v>5</v>
      </c>
      <c r="P23" s="10">
        <f>IF(INDEX($B$5:$B$12,5)="","5. bye","5. "&amp;INDEX($B$5:$B$12,5))</f>
        <v/>
      </c>
      <c r="Q23" s="11" t="n"/>
      <c r="R23" s="10">
        <f>IF(INDEX($B$5:$B$12,1)="","1. bye","1. "&amp;INDEX($B$5:$B$12,1))</f>
        <v/>
      </c>
      <c r="T23" t="n">
        <v>5</v>
      </c>
      <c r="U23" t="n">
        <v>1</v>
      </c>
      <c r="V23">
        <f>IF(OR(Q23="1-0",Q23="½-½",Q23="0-1"),1,0)</f>
        <v/>
      </c>
      <c r="W23">
        <f>IF(Q23="1-0",1,IF(Q23="½-½",0.5,0))</f>
        <v/>
      </c>
      <c r="X23">
        <f>IF(Q23="0-1",1,IF(Q23="½-½",0.5,0))</f>
        <v/>
      </c>
      <c r="Y23">
        <f>W23*INDEX($AA$5:$AA$12,1)</f>
        <v/>
      </c>
      <c r="Z23">
        <f>X23*INDEX($AA$5:$AA$12,5)</f>
        <v/>
      </c>
    </row>
    <row r="24">
      <c r="O24" s="12" t="n">
        <v>5</v>
      </c>
      <c r="P24" s="13">
        <f>IF(INDEX($B$5:$B$12,6)="","6. bye","6. "&amp;INDEX($B$5:$B$12,6))</f>
        <v/>
      </c>
      <c r="Q24" s="14" t="n"/>
      <c r="R24" s="13">
        <f>IF(INDEX($B$5:$B$12,7)="","7. bye","7. "&amp;INDEX($B$5:$B$12,7))</f>
        <v/>
      </c>
      <c r="T24" t="n">
        <v>6</v>
      </c>
      <c r="U24" t="n">
        <v>7</v>
      </c>
      <c r="V24">
        <f>IF(OR(Q24="1-0",Q24="½-½",Q24="0-1"),1,0)</f>
        <v/>
      </c>
      <c r="W24">
        <f>IF(Q24="1-0",1,IF(Q24="½-½",0.5,0))</f>
        <v/>
      </c>
      <c r="X24">
        <f>IF(Q24="0-1",1,IF(Q24="½-½",0.5,0))</f>
        <v/>
      </c>
      <c r="Y24">
        <f>W24*INDEX($AA$5:$AA$12,7)</f>
        <v/>
      </c>
      <c r="Z24">
        <f>X24*INDEX($AA$5:$AA$12,6)</f>
        <v/>
      </c>
    </row>
    <row r="25">
      <c r="O25" s="4" t="n">
        <v>6</v>
      </c>
      <c r="P25" s="10">
        <f>IF(INDEX($B$5:$B$12,8)="","8. bye","8. "&amp;INDEX($B$5:$B$12,8))</f>
        <v/>
      </c>
      <c r="Q25" s="11" t="n"/>
      <c r="R25" s="10">
        <f>IF(INDEX($B$5:$B$12,7)="","7. bye","7. "&amp;INDEX($B$5:$B$12,7))</f>
        <v/>
      </c>
      <c r="T25" t="n">
        <v>8</v>
      </c>
      <c r="U25" t="n">
        <v>7</v>
      </c>
      <c r="V25">
        <f>IF(OR(Q25="1-0",Q25="½-½",Q25="0-1"),1,0)</f>
        <v/>
      </c>
      <c r="W25">
        <f>IF(Q25="1-0",1,IF(Q25="½-½",0.5,0))</f>
        <v/>
      </c>
      <c r="X25">
        <f>IF(Q25="0-1",1,IF(Q25="½-½",0.5,0))</f>
        <v/>
      </c>
      <c r="Y25">
        <f>W25*INDEX($AA$5:$AA$12,7)</f>
        <v/>
      </c>
      <c r="Z25">
        <f>X25*INDEX($AA$5:$AA$12,8)</f>
        <v/>
      </c>
    </row>
    <row r="26">
      <c r="O26" s="4" t="n">
        <v>6</v>
      </c>
      <c r="P26" s="10">
        <f>IF(INDEX($B$5:$B$12,1)="","1. bye","1. "&amp;INDEX($B$5:$B$12,1))</f>
        <v/>
      </c>
      <c r="Q26" s="11" t="n"/>
      <c r="R26" s="10">
        <f>IF(INDEX($B$5:$B$12,6)="","6. bye","6. "&amp;INDEX($B$5:$B$12,6))</f>
        <v/>
      </c>
      <c r="T26" t="n">
        <v>1</v>
      </c>
      <c r="U26" t="n">
        <v>6</v>
      </c>
      <c r="V26">
        <f>IF(OR(Q26="1-0",Q26="½-½",Q26="0-1"),1,0)</f>
        <v/>
      </c>
      <c r="W26">
        <f>IF(Q26="1-0",1,IF(Q26="½-½",0.5,0))</f>
        <v/>
      </c>
      <c r="X26">
        <f>IF(Q26="0-1",1,IF(Q26="½-½",0.5,0))</f>
        <v/>
      </c>
      <c r="Y26">
        <f>W26*INDEX($AA$5:$AA$12,6)</f>
        <v/>
      </c>
      <c r="Z26">
        <f>X26*INDEX($AA$5:$AA$12,1)</f>
        <v/>
      </c>
    </row>
    <row r="27">
      <c r="O27" s="4" t="n">
        <v>6</v>
      </c>
      <c r="P27" s="10">
        <f>IF(INDEX($B$5:$B$12,2)="","2. bye","2. "&amp;INDEX($B$5:$B$12,2))</f>
        <v/>
      </c>
      <c r="Q27" s="11" t="n"/>
      <c r="R27" s="10">
        <f>IF(INDEX($B$5:$B$12,5)="","5. bye","5. "&amp;INDEX($B$5:$B$12,5))</f>
        <v/>
      </c>
      <c r="T27" t="n">
        <v>2</v>
      </c>
      <c r="U27" t="n">
        <v>5</v>
      </c>
      <c r="V27">
        <f>IF(OR(Q27="1-0",Q27="½-½",Q27="0-1"),1,0)</f>
        <v/>
      </c>
      <c r="W27">
        <f>IF(Q27="1-0",1,IF(Q27="½-½",0.5,0))</f>
        <v/>
      </c>
      <c r="X27">
        <f>IF(Q27="0-1",1,IF(Q27="½-½",0.5,0))</f>
        <v/>
      </c>
      <c r="Y27">
        <f>W27*INDEX($AA$5:$AA$12,5)</f>
        <v/>
      </c>
      <c r="Z27">
        <f>X27*INDEX($AA$5:$AA$12,2)</f>
        <v/>
      </c>
    </row>
    <row r="28">
      <c r="O28" s="12" t="n">
        <v>6</v>
      </c>
      <c r="P28" s="13">
        <f>IF(INDEX($B$5:$B$12,3)="","3. bye","3. "&amp;INDEX($B$5:$B$12,3))</f>
        <v/>
      </c>
      <c r="Q28" s="14" t="n"/>
      <c r="R28" s="13">
        <f>IF(INDEX($B$5:$B$12,4)="","4. bye","4. "&amp;INDEX($B$5:$B$12,4))</f>
        <v/>
      </c>
      <c r="T28" t="n">
        <v>3</v>
      </c>
      <c r="U28" t="n">
        <v>4</v>
      </c>
      <c r="V28">
        <f>IF(OR(Q28="1-0",Q28="½-½",Q28="0-1"),1,0)</f>
        <v/>
      </c>
      <c r="W28">
        <f>IF(Q28="1-0",1,IF(Q28="½-½",0.5,0))</f>
        <v/>
      </c>
      <c r="X28">
        <f>IF(Q28="0-1",1,IF(Q28="½-½",0.5,0))</f>
        <v/>
      </c>
      <c r="Y28">
        <f>W28*INDEX($AA$5:$AA$12,4)</f>
        <v/>
      </c>
      <c r="Z28">
        <f>X28*INDEX($AA$5:$AA$12,3)</f>
        <v/>
      </c>
    </row>
    <row r="29">
      <c r="O29" s="4" t="n">
        <v>7</v>
      </c>
      <c r="P29" s="10">
        <f>IF(INDEX($B$5:$B$12,4)="","4. bye","4. "&amp;INDEX($B$5:$B$12,4))</f>
        <v/>
      </c>
      <c r="Q29" s="11" t="n"/>
      <c r="R29" s="10">
        <f>IF(INDEX($B$5:$B$12,8)="","8. bye","8. "&amp;INDEX($B$5:$B$12,8))</f>
        <v/>
      </c>
      <c r="T29" t="n">
        <v>4</v>
      </c>
      <c r="U29" t="n">
        <v>8</v>
      </c>
      <c r="V29">
        <f>IF(OR(Q29="1-0",Q29="½-½",Q29="0-1"),1,0)</f>
        <v/>
      </c>
      <c r="W29">
        <f>IF(Q29="1-0",1,IF(Q29="½-½",0.5,0))</f>
        <v/>
      </c>
      <c r="X29">
        <f>IF(Q29="0-1",1,IF(Q29="½-½",0.5,0))</f>
        <v/>
      </c>
      <c r="Y29">
        <f>W29*INDEX($AA$5:$AA$12,8)</f>
        <v/>
      </c>
      <c r="Z29">
        <f>X29*INDEX($AA$5:$AA$12,4)</f>
        <v/>
      </c>
    </row>
    <row r="30">
      <c r="O30" s="4" t="n">
        <v>7</v>
      </c>
      <c r="P30" s="10">
        <f>IF(INDEX($B$5:$B$12,5)="","5. bye","5. "&amp;INDEX($B$5:$B$12,5))</f>
        <v/>
      </c>
      <c r="Q30" s="11" t="n"/>
      <c r="R30" s="10">
        <f>IF(INDEX($B$5:$B$12,3)="","3. bye","3. "&amp;INDEX($B$5:$B$12,3))</f>
        <v/>
      </c>
      <c r="T30" t="n">
        <v>5</v>
      </c>
      <c r="U30" t="n">
        <v>3</v>
      </c>
      <c r="V30">
        <f>IF(OR(Q30="1-0",Q30="½-½",Q30="0-1"),1,0)</f>
        <v/>
      </c>
      <c r="W30">
        <f>IF(Q30="1-0",1,IF(Q30="½-½",0.5,0))</f>
        <v/>
      </c>
      <c r="X30">
        <f>IF(Q30="0-1",1,IF(Q30="½-½",0.5,0))</f>
        <v/>
      </c>
      <c r="Y30">
        <f>W30*INDEX($AA$5:$AA$12,3)</f>
        <v/>
      </c>
      <c r="Z30">
        <f>X30*INDEX($AA$5:$AA$12,5)</f>
        <v/>
      </c>
    </row>
    <row r="31">
      <c r="O31" s="4" t="n">
        <v>7</v>
      </c>
      <c r="P31" s="10">
        <f>IF(INDEX($B$5:$B$12,6)="","6. bye","6. "&amp;INDEX($B$5:$B$12,6))</f>
        <v/>
      </c>
      <c r="Q31" s="11" t="n"/>
      <c r="R31" s="10">
        <f>IF(INDEX($B$5:$B$12,2)="","2. bye","2. "&amp;INDEX($B$5:$B$12,2))</f>
        <v/>
      </c>
      <c r="T31" t="n">
        <v>6</v>
      </c>
      <c r="U31" t="n">
        <v>2</v>
      </c>
      <c r="V31">
        <f>IF(OR(Q31="1-0",Q31="½-½",Q31="0-1"),1,0)</f>
        <v/>
      </c>
      <c r="W31">
        <f>IF(Q31="1-0",1,IF(Q31="½-½",0.5,0))</f>
        <v/>
      </c>
      <c r="X31">
        <f>IF(Q31="0-1",1,IF(Q31="½-½",0.5,0))</f>
        <v/>
      </c>
      <c r="Y31">
        <f>W31*INDEX($AA$5:$AA$12,2)</f>
        <v/>
      </c>
      <c r="Z31">
        <f>X31*INDEX($AA$5:$AA$12,6)</f>
        <v/>
      </c>
    </row>
    <row r="32">
      <c r="O32" s="4" t="n">
        <v>7</v>
      </c>
      <c r="P32" s="10">
        <f>IF(INDEX($B$5:$B$12,7)="","7. bye","7. "&amp;INDEX($B$5:$B$12,7))</f>
        <v/>
      </c>
      <c r="Q32" s="11" t="n"/>
      <c r="R32" s="10">
        <f>IF(INDEX($B$5:$B$12,1)="","1. bye","1. "&amp;INDEX($B$5:$B$12,1))</f>
        <v/>
      </c>
      <c r="T32" t="n">
        <v>7</v>
      </c>
      <c r="U32" t="n">
        <v>1</v>
      </c>
      <c r="V32">
        <f>IF(OR(Q32="1-0",Q32="½-½",Q32="0-1"),1,0)</f>
        <v/>
      </c>
      <c r="W32">
        <f>IF(Q32="1-0",1,IF(Q32="½-½",0.5,0))</f>
        <v/>
      </c>
      <c r="X32">
        <f>IF(Q32="0-1",1,IF(Q32="½-½",0.5,0))</f>
        <v/>
      </c>
      <c r="Y32">
        <f>W32*INDEX($AA$5:$AA$12,1)</f>
        <v/>
      </c>
      <c r="Z32">
        <f>X32*INDEX($AA$5:$AA$12,7)</f>
        <v/>
      </c>
    </row>
  </sheetData>
  <dataValidations count="1">
    <dataValidation sqref="Q5 Q6 Q7 Q8 Q9 Q10 Q11 Q12 Q13 Q14 Q15 Q16 Q17 Q18 Q19 Q20 Q21 Q22 Q23 Q24 Q25 Q26 Q27 Q28 Q29 Q30 Q31 Q32" showDropDown="0" showInputMessage="0" showErrorMessage="1" allowBlank="1" errorTitle="Result" error="Pick 1-0, ½-½ or 0-1 from the list." type="list">
      <formula1>"1-0,½-½,0-1"</formula1>
    </dataValidation>
  </dataValidations>
  <printOptions horizontalCentered="1"/>
  <pageMargins left="0.4" right="0.4" top="1" bottom="1" header="0.5" footer="0.5"/>
  <pageSetup orientation="landscape" paperSize="1" fitToHeight="0" fitToWidth="1"/>
  <headerFooter>
    <oddHeader/>
    <oddFooter>&amp;C&amp;8 illuminationdevelopment.com/printables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7" customWidth="1" min="9" max="9"/>
    <col width="7" customWidth="1" min="10" max="10"/>
    <col width="7" customWidth="1" min="11" max="11"/>
    <col width="3" customWidth="1" min="12" max="12"/>
    <col width="7" customWidth="1" min="13" max="13"/>
    <col width="18" customWidth="1" min="14" max="14"/>
    <col width="8" customWidth="1" min="15" max="15"/>
    <col width="18" customWidth="1" min="16" max="16"/>
    <col width="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24" customHeight="1">
      <c r="A1" s="1" t="inlineStr">
        <is>
          <t>Round robin, 5 or 6 players</t>
        </is>
      </c>
    </row>
    <row r="2">
      <c r="A2" s="2" t="inlineStr">
        <is>
          <t>Type the names in the yellow cells and pick each result from the list. With 5 players, leave No. 6 empty: whoever meets No. 6 has the bye.</t>
        </is>
      </c>
    </row>
    <row r="4" ht="20" customHeight="1">
      <c r="A4" s="3" t="inlineStr">
        <is>
          <t>No.</t>
        </is>
      </c>
      <c r="B4" s="3" t="inlineStr">
        <is>
          <t>Player</t>
        </is>
      </c>
      <c r="C4" s="3" t="inlineStr">
        <is>
          <t>1</t>
        </is>
      </c>
      <c r="D4" s="3" t="inlineStr">
        <is>
          <t>2</t>
        </is>
      </c>
      <c r="E4" s="3" t="inlineStr">
        <is>
          <t>3</t>
        </is>
      </c>
      <c r="F4" s="3" t="inlineStr">
        <is>
          <t>4</t>
        </is>
      </c>
      <c r="G4" s="3" t="inlineStr">
        <is>
          <t>5</t>
        </is>
      </c>
      <c r="H4" s="3" t="inlineStr">
        <is>
          <t>6</t>
        </is>
      </c>
      <c r="I4" s="3" t="inlineStr">
        <is>
          <t>Score</t>
        </is>
      </c>
      <c r="J4" s="3" t="inlineStr">
        <is>
          <t>SB</t>
        </is>
      </c>
      <c r="K4" s="3" t="inlineStr">
        <is>
          <t>Place</t>
        </is>
      </c>
      <c r="M4" s="3" t="inlineStr">
        <is>
          <t>Round</t>
        </is>
      </c>
      <c r="N4" s="3" t="inlineStr">
        <is>
          <t>White</t>
        </is>
      </c>
      <c r="O4" s="3" t="inlineStr">
        <is>
          <t>Result</t>
        </is>
      </c>
      <c r="P4" s="3" t="inlineStr">
        <is>
          <t>Black</t>
        </is>
      </c>
      <c r="R4" s="2" t="inlineStr">
        <is>
          <t>W no.</t>
        </is>
      </c>
      <c r="S4" s="2" t="inlineStr">
        <is>
          <t>B no.</t>
        </is>
      </c>
      <c r="T4" s="2" t="inlineStr">
        <is>
          <t>Played</t>
        </is>
      </c>
      <c r="U4" s="2" t="inlineStr">
        <is>
          <t>W pts</t>
        </is>
      </c>
      <c r="V4" s="2" t="inlineStr">
        <is>
          <t>B pts</t>
        </is>
      </c>
      <c r="W4" s="2" t="inlineStr">
        <is>
          <t>W SB</t>
        </is>
      </c>
      <c r="X4" s="2" t="inlineStr">
        <is>
          <t>B SB</t>
        </is>
      </c>
      <c r="Y4" s="2" t="inlineStr">
        <is>
          <t>Score</t>
        </is>
      </c>
      <c r="Z4" s="2" t="inlineStr">
        <is>
          <t>In</t>
        </is>
      </c>
    </row>
    <row r="5">
      <c r="A5" s="4" t="n">
        <v>1</v>
      </c>
      <c r="B5" s="5" t="n"/>
      <c r="C5" s="6" t="n"/>
      <c r="D5" s="4">
        <f>IF(COUNTIFS($R$5:$R$19,1,$S$5:$S$19,2,$T$5:$T$19,1)+COUNTIFS($R$5:$R$19,2,$S$5:$S$19,1,$T$5:$T$19,1)=0,"",CHOOSE((SUMIFS($U$5:$U$19,$R$5:$R$19,1,$S$5:$S$19,2)+SUMIFS($V$5:$V$19,$R$5:$R$19,2,$S$5:$S$19,1))*2+1,"0","½","1"))</f>
        <v/>
      </c>
      <c r="E5" s="4">
        <f>IF(COUNTIFS($R$5:$R$19,1,$S$5:$S$19,3,$T$5:$T$19,1)+COUNTIFS($R$5:$R$19,3,$S$5:$S$19,1,$T$5:$T$19,1)=0,"",CHOOSE((SUMIFS($U$5:$U$19,$R$5:$R$19,1,$S$5:$S$19,3)+SUMIFS($V$5:$V$19,$R$5:$R$19,3,$S$5:$S$19,1))*2+1,"0","½","1"))</f>
        <v/>
      </c>
      <c r="F5" s="4">
        <f>IF(COUNTIFS($R$5:$R$19,1,$S$5:$S$19,4,$T$5:$T$19,1)+COUNTIFS($R$5:$R$19,4,$S$5:$S$19,1,$T$5:$T$19,1)=0,"",CHOOSE((SUMIFS($U$5:$U$19,$R$5:$R$19,1,$S$5:$S$19,4)+SUMIFS($V$5:$V$19,$R$5:$R$19,4,$S$5:$S$19,1))*2+1,"0","½","1"))</f>
        <v/>
      </c>
      <c r="G5" s="4">
        <f>IF(COUNTIFS($R$5:$R$19,1,$S$5:$S$19,5,$T$5:$T$19,1)+COUNTIFS($R$5:$R$19,5,$S$5:$S$19,1,$T$5:$T$19,1)=0,"",CHOOSE((SUMIFS($U$5:$U$19,$R$5:$R$19,1,$S$5:$S$19,5)+SUMIFS($V$5:$V$19,$R$5:$R$19,5,$S$5:$S$19,1))*2+1,"0","½","1"))</f>
        <v/>
      </c>
      <c r="H5" s="4">
        <f>IF(COUNTIFS($R$5:$R$19,1,$S$5:$S$19,6,$T$5:$T$19,1)+COUNTIFS($R$5:$R$19,6,$S$5:$S$19,1,$T$5:$T$19,1)=0,"",CHOOSE((SUMIFS($U$5:$U$19,$R$5:$R$19,1,$S$5:$S$19,6)+SUMIFS($V$5:$V$19,$R$5:$R$19,6,$S$5:$S$19,1))*2+1,"0","½","1"))</f>
        <v/>
      </c>
      <c r="I5" s="7">
        <f>IF(B5="","",Y5)</f>
        <v/>
      </c>
      <c r="J5" s="8">
        <f>IF(B5="","",SUMIF($R$5:$R$19,1,$W$5:$W$19)+SUMIF($S$5:$S$19,1,$X$5:$X$19))</f>
        <v/>
      </c>
      <c r="K5" s="9">
        <f>IF(B5="","",COUNTIFS($Z$5:$Z$10,1,$Y$5:$Y$10,"&gt;"&amp;Y5)+COUNTIFS($Z$5:$Z$10,1,$Y$5:$Y$10,Y5,$J$5:$J$10,"&gt;"&amp;J5)+1)</f>
        <v/>
      </c>
      <c r="M5" s="4" t="n">
        <v>1</v>
      </c>
      <c r="N5" s="10">
        <f>IF(INDEX($B$5:$B$10,1)="","1. bye","1. "&amp;INDEX($B$5:$B$10,1))</f>
        <v/>
      </c>
      <c r="O5" s="11" t="n"/>
      <c r="P5" s="10">
        <f>IF(INDEX($B$5:$B$10,6)="","6. bye","6. "&amp;INDEX($B$5:$B$10,6))</f>
        <v/>
      </c>
      <c r="R5" t="n">
        <v>1</v>
      </c>
      <c r="S5" t="n">
        <v>6</v>
      </c>
      <c r="T5">
        <f>IF(OR(O5="1-0",O5="½-½",O5="0-1"),1,0)</f>
        <v/>
      </c>
      <c r="U5">
        <f>IF(O5="1-0",1,IF(O5="½-½",0.5,0))</f>
        <v/>
      </c>
      <c r="V5">
        <f>IF(O5="0-1",1,IF(O5="½-½",0.5,0))</f>
        <v/>
      </c>
      <c r="W5">
        <f>U5*INDEX($Y$5:$Y$10,6)</f>
        <v/>
      </c>
      <c r="X5">
        <f>V5*INDEX($Y$5:$Y$10,1)</f>
        <v/>
      </c>
      <c r="Y5">
        <f>SUMIF($R$5:$R$19,1,$U$5:$U$19)+SUMIF($S$5:$S$19,1,$V$5:$V$19)</f>
        <v/>
      </c>
      <c r="Z5">
        <f>IF(B5="",0,1)</f>
        <v/>
      </c>
    </row>
    <row r="6">
      <c r="A6" s="4" t="n">
        <v>2</v>
      </c>
      <c r="B6" s="5" t="n"/>
      <c r="C6" s="4">
        <f>IF(COUNTIFS($R$5:$R$19,2,$S$5:$S$19,1,$T$5:$T$19,1)+COUNTIFS($R$5:$R$19,1,$S$5:$S$19,2,$T$5:$T$19,1)=0,"",CHOOSE((SUMIFS($U$5:$U$19,$R$5:$R$19,2,$S$5:$S$19,1)+SUMIFS($V$5:$V$19,$R$5:$R$19,1,$S$5:$S$19,2))*2+1,"0","½","1"))</f>
        <v/>
      </c>
      <c r="D6" s="6" t="n"/>
      <c r="E6" s="4">
        <f>IF(COUNTIFS($R$5:$R$19,2,$S$5:$S$19,3,$T$5:$T$19,1)+COUNTIFS($R$5:$R$19,3,$S$5:$S$19,2,$T$5:$T$19,1)=0,"",CHOOSE((SUMIFS($U$5:$U$19,$R$5:$R$19,2,$S$5:$S$19,3)+SUMIFS($V$5:$V$19,$R$5:$R$19,3,$S$5:$S$19,2))*2+1,"0","½","1"))</f>
        <v/>
      </c>
      <c r="F6" s="4">
        <f>IF(COUNTIFS($R$5:$R$19,2,$S$5:$S$19,4,$T$5:$T$19,1)+COUNTIFS($R$5:$R$19,4,$S$5:$S$19,2,$T$5:$T$19,1)=0,"",CHOOSE((SUMIFS($U$5:$U$19,$R$5:$R$19,2,$S$5:$S$19,4)+SUMIFS($V$5:$V$19,$R$5:$R$19,4,$S$5:$S$19,2))*2+1,"0","½","1"))</f>
        <v/>
      </c>
      <c r="G6" s="4">
        <f>IF(COUNTIFS($R$5:$R$19,2,$S$5:$S$19,5,$T$5:$T$19,1)+COUNTIFS($R$5:$R$19,5,$S$5:$S$19,2,$T$5:$T$19,1)=0,"",CHOOSE((SUMIFS($U$5:$U$19,$R$5:$R$19,2,$S$5:$S$19,5)+SUMIFS($V$5:$V$19,$R$5:$R$19,5,$S$5:$S$19,2))*2+1,"0","½","1"))</f>
        <v/>
      </c>
      <c r="H6" s="4">
        <f>IF(COUNTIFS($R$5:$R$19,2,$S$5:$S$19,6,$T$5:$T$19,1)+COUNTIFS($R$5:$R$19,6,$S$5:$S$19,2,$T$5:$T$19,1)=0,"",CHOOSE((SUMIFS($U$5:$U$19,$R$5:$R$19,2,$S$5:$S$19,6)+SUMIFS($V$5:$V$19,$R$5:$R$19,6,$S$5:$S$19,2))*2+1,"0","½","1"))</f>
        <v/>
      </c>
      <c r="I6" s="7">
        <f>IF(B6="","",Y6)</f>
        <v/>
      </c>
      <c r="J6" s="8">
        <f>IF(B6="","",SUMIF($R$5:$R$19,2,$W$5:$W$19)+SUMIF($S$5:$S$19,2,$X$5:$X$19))</f>
        <v/>
      </c>
      <c r="K6" s="9">
        <f>IF(B6="","",COUNTIFS($Z$5:$Z$10,1,$Y$5:$Y$10,"&gt;"&amp;Y6)+COUNTIFS($Z$5:$Z$10,1,$Y$5:$Y$10,Y6,$J$5:$J$10,"&gt;"&amp;J6)+1)</f>
        <v/>
      </c>
      <c r="M6" s="4" t="n">
        <v>1</v>
      </c>
      <c r="N6" s="10">
        <f>IF(INDEX($B$5:$B$10,2)="","2. bye","2. "&amp;INDEX($B$5:$B$10,2))</f>
        <v/>
      </c>
      <c r="O6" s="11" t="n"/>
      <c r="P6" s="10">
        <f>IF(INDEX($B$5:$B$10,5)="","5. bye","5. "&amp;INDEX($B$5:$B$10,5))</f>
        <v/>
      </c>
      <c r="R6" t="n">
        <v>2</v>
      </c>
      <c r="S6" t="n">
        <v>5</v>
      </c>
      <c r="T6">
        <f>IF(OR(O6="1-0",O6="½-½",O6="0-1"),1,0)</f>
        <v/>
      </c>
      <c r="U6">
        <f>IF(O6="1-0",1,IF(O6="½-½",0.5,0))</f>
        <v/>
      </c>
      <c r="V6">
        <f>IF(O6="0-1",1,IF(O6="½-½",0.5,0))</f>
        <v/>
      </c>
      <c r="W6">
        <f>U6*INDEX($Y$5:$Y$10,5)</f>
        <v/>
      </c>
      <c r="X6">
        <f>V6*INDEX($Y$5:$Y$10,2)</f>
        <v/>
      </c>
      <c r="Y6">
        <f>SUMIF($R$5:$R$19,2,$U$5:$U$19)+SUMIF($S$5:$S$19,2,$V$5:$V$19)</f>
        <v/>
      </c>
      <c r="Z6">
        <f>IF(B6="",0,1)</f>
        <v/>
      </c>
    </row>
    <row r="7">
      <c r="A7" s="4" t="n">
        <v>3</v>
      </c>
      <c r="B7" s="5" t="n"/>
      <c r="C7" s="4">
        <f>IF(COUNTIFS($R$5:$R$19,3,$S$5:$S$19,1,$T$5:$T$19,1)+COUNTIFS($R$5:$R$19,1,$S$5:$S$19,3,$T$5:$T$19,1)=0,"",CHOOSE((SUMIFS($U$5:$U$19,$R$5:$R$19,3,$S$5:$S$19,1)+SUMIFS($V$5:$V$19,$R$5:$R$19,1,$S$5:$S$19,3))*2+1,"0","½","1"))</f>
        <v/>
      </c>
      <c r="D7" s="4">
        <f>IF(COUNTIFS($R$5:$R$19,3,$S$5:$S$19,2,$T$5:$T$19,1)+COUNTIFS($R$5:$R$19,2,$S$5:$S$19,3,$T$5:$T$19,1)=0,"",CHOOSE((SUMIFS($U$5:$U$19,$R$5:$R$19,3,$S$5:$S$19,2)+SUMIFS($V$5:$V$19,$R$5:$R$19,2,$S$5:$S$19,3))*2+1,"0","½","1"))</f>
        <v/>
      </c>
      <c r="E7" s="6" t="n"/>
      <c r="F7" s="4">
        <f>IF(COUNTIFS($R$5:$R$19,3,$S$5:$S$19,4,$T$5:$T$19,1)+COUNTIFS($R$5:$R$19,4,$S$5:$S$19,3,$T$5:$T$19,1)=0,"",CHOOSE((SUMIFS($U$5:$U$19,$R$5:$R$19,3,$S$5:$S$19,4)+SUMIFS($V$5:$V$19,$R$5:$R$19,4,$S$5:$S$19,3))*2+1,"0","½","1"))</f>
        <v/>
      </c>
      <c r="G7" s="4">
        <f>IF(COUNTIFS($R$5:$R$19,3,$S$5:$S$19,5,$T$5:$T$19,1)+COUNTIFS($R$5:$R$19,5,$S$5:$S$19,3,$T$5:$T$19,1)=0,"",CHOOSE((SUMIFS($U$5:$U$19,$R$5:$R$19,3,$S$5:$S$19,5)+SUMIFS($V$5:$V$19,$R$5:$R$19,5,$S$5:$S$19,3))*2+1,"0","½","1"))</f>
        <v/>
      </c>
      <c r="H7" s="4">
        <f>IF(COUNTIFS($R$5:$R$19,3,$S$5:$S$19,6,$T$5:$T$19,1)+COUNTIFS($R$5:$R$19,6,$S$5:$S$19,3,$T$5:$T$19,1)=0,"",CHOOSE((SUMIFS($U$5:$U$19,$R$5:$R$19,3,$S$5:$S$19,6)+SUMIFS($V$5:$V$19,$R$5:$R$19,6,$S$5:$S$19,3))*2+1,"0","½","1"))</f>
        <v/>
      </c>
      <c r="I7" s="7">
        <f>IF(B7="","",Y7)</f>
        <v/>
      </c>
      <c r="J7" s="8">
        <f>IF(B7="","",SUMIF($R$5:$R$19,3,$W$5:$W$19)+SUMIF($S$5:$S$19,3,$X$5:$X$19))</f>
        <v/>
      </c>
      <c r="K7" s="9">
        <f>IF(B7="","",COUNTIFS($Z$5:$Z$10,1,$Y$5:$Y$10,"&gt;"&amp;Y7)+COUNTIFS($Z$5:$Z$10,1,$Y$5:$Y$10,Y7,$J$5:$J$10,"&gt;"&amp;J7)+1)</f>
        <v/>
      </c>
      <c r="M7" s="12" t="n">
        <v>1</v>
      </c>
      <c r="N7" s="13">
        <f>IF(INDEX($B$5:$B$10,3)="","3. bye","3. "&amp;INDEX($B$5:$B$10,3))</f>
        <v/>
      </c>
      <c r="O7" s="14" t="n"/>
      <c r="P7" s="13">
        <f>IF(INDEX($B$5:$B$10,4)="","4. bye","4. "&amp;INDEX($B$5:$B$10,4))</f>
        <v/>
      </c>
      <c r="R7" t="n">
        <v>3</v>
      </c>
      <c r="S7" t="n">
        <v>4</v>
      </c>
      <c r="T7">
        <f>IF(OR(O7="1-0",O7="½-½",O7="0-1"),1,0)</f>
        <v/>
      </c>
      <c r="U7">
        <f>IF(O7="1-0",1,IF(O7="½-½",0.5,0))</f>
        <v/>
      </c>
      <c r="V7">
        <f>IF(O7="0-1",1,IF(O7="½-½",0.5,0))</f>
        <v/>
      </c>
      <c r="W7">
        <f>U7*INDEX($Y$5:$Y$10,4)</f>
        <v/>
      </c>
      <c r="X7">
        <f>V7*INDEX($Y$5:$Y$10,3)</f>
        <v/>
      </c>
      <c r="Y7">
        <f>SUMIF($R$5:$R$19,3,$U$5:$U$19)+SUMIF($S$5:$S$19,3,$V$5:$V$19)</f>
        <v/>
      </c>
      <c r="Z7">
        <f>IF(B7="",0,1)</f>
        <v/>
      </c>
    </row>
    <row r="8">
      <c r="A8" s="4" t="n">
        <v>4</v>
      </c>
      <c r="B8" s="5" t="n"/>
      <c r="C8" s="4">
        <f>IF(COUNTIFS($R$5:$R$19,4,$S$5:$S$19,1,$T$5:$T$19,1)+COUNTIFS($R$5:$R$19,1,$S$5:$S$19,4,$T$5:$T$19,1)=0,"",CHOOSE((SUMIFS($U$5:$U$19,$R$5:$R$19,4,$S$5:$S$19,1)+SUMIFS($V$5:$V$19,$R$5:$R$19,1,$S$5:$S$19,4))*2+1,"0","½","1"))</f>
        <v/>
      </c>
      <c r="D8" s="4">
        <f>IF(COUNTIFS($R$5:$R$19,4,$S$5:$S$19,2,$T$5:$T$19,1)+COUNTIFS($R$5:$R$19,2,$S$5:$S$19,4,$T$5:$T$19,1)=0,"",CHOOSE((SUMIFS($U$5:$U$19,$R$5:$R$19,4,$S$5:$S$19,2)+SUMIFS($V$5:$V$19,$R$5:$R$19,2,$S$5:$S$19,4))*2+1,"0","½","1"))</f>
        <v/>
      </c>
      <c r="E8" s="4">
        <f>IF(COUNTIFS($R$5:$R$19,4,$S$5:$S$19,3,$T$5:$T$19,1)+COUNTIFS($R$5:$R$19,3,$S$5:$S$19,4,$T$5:$T$19,1)=0,"",CHOOSE((SUMIFS($U$5:$U$19,$R$5:$R$19,4,$S$5:$S$19,3)+SUMIFS($V$5:$V$19,$R$5:$R$19,3,$S$5:$S$19,4))*2+1,"0","½","1"))</f>
        <v/>
      </c>
      <c r="F8" s="6" t="n"/>
      <c r="G8" s="4">
        <f>IF(COUNTIFS($R$5:$R$19,4,$S$5:$S$19,5,$T$5:$T$19,1)+COUNTIFS($R$5:$R$19,5,$S$5:$S$19,4,$T$5:$T$19,1)=0,"",CHOOSE((SUMIFS($U$5:$U$19,$R$5:$R$19,4,$S$5:$S$19,5)+SUMIFS($V$5:$V$19,$R$5:$R$19,5,$S$5:$S$19,4))*2+1,"0","½","1"))</f>
        <v/>
      </c>
      <c r="H8" s="4">
        <f>IF(COUNTIFS($R$5:$R$19,4,$S$5:$S$19,6,$T$5:$T$19,1)+COUNTIFS($R$5:$R$19,6,$S$5:$S$19,4,$T$5:$T$19,1)=0,"",CHOOSE((SUMIFS($U$5:$U$19,$R$5:$R$19,4,$S$5:$S$19,6)+SUMIFS($V$5:$V$19,$R$5:$R$19,6,$S$5:$S$19,4))*2+1,"0","½","1"))</f>
        <v/>
      </c>
      <c r="I8" s="7">
        <f>IF(B8="","",Y8)</f>
        <v/>
      </c>
      <c r="J8" s="8">
        <f>IF(B8="","",SUMIF($R$5:$R$19,4,$W$5:$W$19)+SUMIF($S$5:$S$19,4,$X$5:$X$19))</f>
        <v/>
      </c>
      <c r="K8" s="9">
        <f>IF(B8="","",COUNTIFS($Z$5:$Z$10,1,$Y$5:$Y$10,"&gt;"&amp;Y8)+COUNTIFS($Z$5:$Z$10,1,$Y$5:$Y$10,Y8,$J$5:$J$10,"&gt;"&amp;J8)+1)</f>
        <v/>
      </c>
      <c r="M8" s="4" t="n">
        <v>2</v>
      </c>
      <c r="N8" s="10">
        <f>IF(INDEX($B$5:$B$10,6)="","6. bye","6. "&amp;INDEX($B$5:$B$10,6))</f>
        <v/>
      </c>
      <c r="O8" s="11" t="n"/>
      <c r="P8" s="10">
        <f>IF(INDEX($B$5:$B$10,4)="","4. bye","4. "&amp;INDEX($B$5:$B$10,4))</f>
        <v/>
      </c>
      <c r="R8" t="n">
        <v>6</v>
      </c>
      <c r="S8" t="n">
        <v>4</v>
      </c>
      <c r="T8">
        <f>IF(OR(O8="1-0",O8="½-½",O8="0-1"),1,0)</f>
        <v/>
      </c>
      <c r="U8">
        <f>IF(O8="1-0",1,IF(O8="½-½",0.5,0))</f>
        <v/>
      </c>
      <c r="V8">
        <f>IF(O8="0-1",1,IF(O8="½-½",0.5,0))</f>
        <v/>
      </c>
      <c r="W8">
        <f>U8*INDEX($Y$5:$Y$10,4)</f>
        <v/>
      </c>
      <c r="X8">
        <f>V8*INDEX($Y$5:$Y$10,6)</f>
        <v/>
      </c>
      <c r="Y8">
        <f>SUMIF($R$5:$R$19,4,$U$5:$U$19)+SUMIF($S$5:$S$19,4,$V$5:$V$19)</f>
        <v/>
      </c>
      <c r="Z8">
        <f>IF(B8="",0,1)</f>
        <v/>
      </c>
    </row>
    <row r="9">
      <c r="A9" s="4" t="n">
        <v>5</v>
      </c>
      <c r="B9" s="5" t="n"/>
      <c r="C9" s="4">
        <f>IF(COUNTIFS($R$5:$R$19,5,$S$5:$S$19,1,$T$5:$T$19,1)+COUNTIFS($R$5:$R$19,1,$S$5:$S$19,5,$T$5:$T$19,1)=0,"",CHOOSE((SUMIFS($U$5:$U$19,$R$5:$R$19,5,$S$5:$S$19,1)+SUMIFS($V$5:$V$19,$R$5:$R$19,1,$S$5:$S$19,5))*2+1,"0","½","1"))</f>
        <v/>
      </c>
      <c r="D9" s="4">
        <f>IF(COUNTIFS($R$5:$R$19,5,$S$5:$S$19,2,$T$5:$T$19,1)+COUNTIFS($R$5:$R$19,2,$S$5:$S$19,5,$T$5:$T$19,1)=0,"",CHOOSE((SUMIFS($U$5:$U$19,$R$5:$R$19,5,$S$5:$S$19,2)+SUMIFS($V$5:$V$19,$R$5:$R$19,2,$S$5:$S$19,5))*2+1,"0","½","1"))</f>
        <v/>
      </c>
      <c r="E9" s="4">
        <f>IF(COUNTIFS($R$5:$R$19,5,$S$5:$S$19,3,$T$5:$T$19,1)+COUNTIFS($R$5:$R$19,3,$S$5:$S$19,5,$T$5:$T$19,1)=0,"",CHOOSE((SUMIFS($U$5:$U$19,$R$5:$R$19,5,$S$5:$S$19,3)+SUMIFS($V$5:$V$19,$R$5:$R$19,3,$S$5:$S$19,5))*2+1,"0","½","1"))</f>
        <v/>
      </c>
      <c r="F9" s="4">
        <f>IF(COUNTIFS($R$5:$R$19,5,$S$5:$S$19,4,$T$5:$T$19,1)+COUNTIFS($R$5:$R$19,4,$S$5:$S$19,5,$T$5:$T$19,1)=0,"",CHOOSE((SUMIFS($U$5:$U$19,$R$5:$R$19,5,$S$5:$S$19,4)+SUMIFS($V$5:$V$19,$R$5:$R$19,4,$S$5:$S$19,5))*2+1,"0","½","1"))</f>
        <v/>
      </c>
      <c r="G9" s="6" t="n"/>
      <c r="H9" s="4">
        <f>IF(COUNTIFS($R$5:$R$19,5,$S$5:$S$19,6,$T$5:$T$19,1)+COUNTIFS($R$5:$R$19,6,$S$5:$S$19,5,$T$5:$T$19,1)=0,"",CHOOSE((SUMIFS($U$5:$U$19,$R$5:$R$19,5,$S$5:$S$19,6)+SUMIFS($V$5:$V$19,$R$5:$R$19,6,$S$5:$S$19,5))*2+1,"0","½","1"))</f>
        <v/>
      </c>
      <c r="I9" s="7">
        <f>IF(B9="","",Y9)</f>
        <v/>
      </c>
      <c r="J9" s="8">
        <f>IF(B9="","",SUMIF($R$5:$R$19,5,$W$5:$W$19)+SUMIF($S$5:$S$19,5,$X$5:$X$19))</f>
        <v/>
      </c>
      <c r="K9" s="9">
        <f>IF(B9="","",COUNTIFS($Z$5:$Z$10,1,$Y$5:$Y$10,"&gt;"&amp;Y9)+COUNTIFS($Z$5:$Z$10,1,$Y$5:$Y$10,Y9,$J$5:$J$10,"&gt;"&amp;J9)+1)</f>
        <v/>
      </c>
      <c r="M9" s="4" t="n">
        <v>2</v>
      </c>
      <c r="N9" s="10">
        <f>IF(INDEX($B$5:$B$10,5)="","5. bye","5. "&amp;INDEX($B$5:$B$10,5))</f>
        <v/>
      </c>
      <c r="O9" s="11" t="n"/>
      <c r="P9" s="10">
        <f>IF(INDEX($B$5:$B$10,3)="","3. bye","3. "&amp;INDEX($B$5:$B$10,3))</f>
        <v/>
      </c>
      <c r="R9" t="n">
        <v>5</v>
      </c>
      <c r="S9" t="n">
        <v>3</v>
      </c>
      <c r="T9">
        <f>IF(OR(O9="1-0",O9="½-½",O9="0-1"),1,0)</f>
        <v/>
      </c>
      <c r="U9">
        <f>IF(O9="1-0",1,IF(O9="½-½",0.5,0))</f>
        <v/>
      </c>
      <c r="V9">
        <f>IF(O9="0-1",1,IF(O9="½-½",0.5,0))</f>
        <v/>
      </c>
      <c r="W9">
        <f>U9*INDEX($Y$5:$Y$10,3)</f>
        <v/>
      </c>
      <c r="X9">
        <f>V9*INDEX($Y$5:$Y$10,5)</f>
        <v/>
      </c>
      <c r="Y9">
        <f>SUMIF($R$5:$R$19,5,$U$5:$U$19)+SUMIF($S$5:$S$19,5,$V$5:$V$19)</f>
        <v/>
      </c>
      <c r="Z9">
        <f>IF(B9="",0,1)</f>
        <v/>
      </c>
    </row>
    <row r="10">
      <c r="A10" s="4" t="n">
        <v>6</v>
      </c>
      <c r="B10" s="5" t="n"/>
      <c r="C10" s="4">
        <f>IF(COUNTIFS($R$5:$R$19,6,$S$5:$S$19,1,$T$5:$T$19,1)+COUNTIFS($R$5:$R$19,1,$S$5:$S$19,6,$T$5:$T$19,1)=0,"",CHOOSE((SUMIFS($U$5:$U$19,$R$5:$R$19,6,$S$5:$S$19,1)+SUMIFS($V$5:$V$19,$R$5:$R$19,1,$S$5:$S$19,6))*2+1,"0","½","1"))</f>
        <v/>
      </c>
      <c r="D10" s="4">
        <f>IF(COUNTIFS($R$5:$R$19,6,$S$5:$S$19,2,$T$5:$T$19,1)+COUNTIFS($R$5:$R$19,2,$S$5:$S$19,6,$T$5:$T$19,1)=0,"",CHOOSE((SUMIFS($U$5:$U$19,$R$5:$R$19,6,$S$5:$S$19,2)+SUMIFS($V$5:$V$19,$R$5:$R$19,2,$S$5:$S$19,6))*2+1,"0","½","1"))</f>
        <v/>
      </c>
      <c r="E10" s="4">
        <f>IF(COUNTIFS($R$5:$R$19,6,$S$5:$S$19,3,$T$5:$T$19,1)+COUNTIFS($R$5:$R$19,3,$S$5:$S$19,6,$T$5:$T$19,1)=0,"",CHOOSE((SUMIFS($U$5:$U$19,$R$5:$R$19,6,$S$5:$S$19,3)+SUMIFS($V$5:$V$19,$R$5:$R$19,3,$S$5:$S$19,6))*2+1,"0","½","1"))</f>
        <v/>
      </c>
      <c r="F10" s="4">
        <f>IF(COUNTIFS($R$5:$R$19,6,$S$5:$S$19,4,$T$5:$T$19,1)+COUNTIFS($R$5:$R$19,4,$S$5:$S$19,6,$T$5:$T$19,1)=0,"",CHOOSE((SUMIFS($U$5:$U$19,$R$5:$R$19,6,$S$5:$S$19,4)+SUMIFS($V$5:$V$19,$R$5:$R$19,4,$S$5:$S$19,6))*2+1,"0","½","1"))</f>
        <v/>
      </c>
      <c r="G10" s="4">
        <f>IF(COUNTIFS($R$5:$R$19,6,$S$5:$S$19,5,$T$5:$T$19,1)+COUNTIFS($R$5:$R$19,5,$S$5:$S$19,6,$T$5:$T$19,1)=0,"",CHOOSE((SUMIFS($U$5:$U$19,$R$5:$R$19,6,$S$5:$S$19,5)+SUMIFS($V$5:$V$19,$R$5:$R$19,5,$S$5:$S$19,6))*2+1,"0","½","1"))</f>
        <v/>
      </c>
      <c r="H10" s="6" t="n"/>
      <c r="I10" s="7">
        <f>IF(B10="","",Y10)</f>
        <v/>
      </c>
      <c r="J10" s="8">
        <f>IF(B10="","",SUMIF($R$5:$R$19,6,$W$5:$W$19)+SUMIF($S$5:$S$19,6,$X$5:$X$19))</f>
        <v/>
      </c>
      <c r="K10" s="9">
        <f>IF(B10="","",COUNTIFS($Z$5:$Z$10,1,$Y$5:$Y$10,"&gt;"&amp;Y10)+COUNTIFS($Z$5:$Z$10,1,$Y$5:$Y$10,Y10,$J$5:$J$10,"&gt;"&amp;J10)+1)</f>
        <v/>
      </c>
      <c r="M10" s="12" t="n">
        <v>2</v>
      </c>
      <c r="N10" s="13">
        <f>IF(INDEX($B$5:$B$10,1)="","1. bye","1. "&amp;INDEX($B$5:$B$10,1))</f>
        <v/>
      </c>
      <c r="O10" s="14" t="n"/>
      <c r="P10" s="13">
        <f>IF(INDEX($B$5:$B$10,2)="","2. bye","2. "&amp;INDEX($B$5:$B$10,2))</f>
        <v/>
      </c>
      <c r="R10" t="n">
        <v>1</v>
      </c>
      <c r="S10" t="n">
        <v>2</v>
      </c>
      <c r="T10">
        <f>IF(OR(O10="1-0",O10="½-½",O10="0-1"),1,0)</f>
        <v/>
      </c>
      <c r="U10">
        <f>IF(O10="1-0",1,IF(O10="½-½",0.5,0))</f>
        <v/>
      </c>
      <c r="V10">
        <f>IF(O10="0-1",1,IF(O10="½-½",0.5,0))</f>
        <v/>
      </c>
      <c r="W10">
        <f>U10*INDEX($Y$5:$Y$10,2)</f>
        <v/>
      </c>
      <c r="X10">
        <f>V10*INDEX($Y$5:$Y$10,1)</f>
        <v/>
      </c>
      <c r="Y10">
        <f>SUMIF($R$5:$R$19,6,$U$5:$U$19)+SUMIF($S$5:$S$19,6,$V$5:$V$19)</f>
        <v/>
      </c>
      <c r="Z10">
        <f>IF(B10="",0,1)</f>
        <v/>
      </c>
    </row>
    <row r="11">
      <c r="M11" s="4" t="n">
        <v>3</v>
      </c>
      <c r="N11" s="10">
        <f>IF(INDEX($B$5:$B$10,2)="","2. bye","2. "&amp;INDEX($B$5:$B$10,2))</f>
        <v/>
      </c>
      <c r="O11" s="11" t="n"/>
      <c r="P11" s="10">
        <f>IF(INDEX($B$5:$B$10,6)="","6. bye","6. "&amp;INDEX($B$5:$B$10,6))</f>
        <v/>
      </c>
      <c r="R11" t="n">
        <v>2</v>
      </c>
      <c r="S11" t="n">
        <v>6</v>
      </c>
      <c r="T11">
        <f>IF(OR(O11="1-0",O11="½-½",O11="0-1"),1,0)</f>
        <v/>
      </c>
      <c r="U11">
        <f>IF(O11="1-0",1,IF(O11="½-½",0.5,0))</f>
        <v/>
      </c>
      <c r="V11">
        <f>IF(O11="0-1",1,IF(O11="½-½",0.5,0))</f>
        <v/>
      </c>
      <c r="W11">
        <f>U11*INDEX($Y$5:$Y$10,6)</f>
        <v/>
      </c>
      <c r="X11">
        <f>V11*INDEX($Y$5:$Y$10,2)</f>
        <v/>
      </c>
    </row>
    <row r="12">
      <c r="M12" s="4" t="n">
        <v>3</v>
      </c>
      <c r="N12" s="10">
        <f>IF(INDEX($B$5:$B$10,3)="","3. bye","3. "&amp;INDEX($B$5:$B$10,3))</f>
        <v/>
      </c>
      <c r="O12" s="11" t="n"/>
      <c r="P12" s="10">
        <f>IF(INDEX($B$5:$B$10,1)="","1. bye","1. "&amp;INDEX($B$5:$B$10,1))</f>
        <v/>
      </c>
      <c r="R12" t="n">
        <v>3</v>
      </c>
      <c r="S12" t="n">
        <v>1</v>
      </c>
      <c r="T12">
        <f>IF(OR(O12="1-0",O12="½-½",O12="0-1"),1,0)</f>
        <v/>
      </c>
      <c r="U12">
        <f>IF(O12="1-0",1,IF(O12="½-½",0.5,0))</f>
        <v/>
      </c>
      <c r="V12">
        <f>IF(O12="0-1",1,IF(O12="½-½",0.5,0))</f>
        <v/>
      </c>
      <c r="W12">
        <f>U12*INDEX($Y$5:$Y$10,1)</f>
        <v/>
      </c>
      <c r="X12">
        <f>V12*INDEX($Y$5:$Y$10,3)</f>
        <v/>
      </c>
    </row>
    <row r="13">
      <c r="M13" s="12" t="n">
        <v>3</v>
      </c>
      <c r="N13" s="13">
        <f>IF(INDEX($B$5:$B$10,4)="","4. bye","4. "&amp;INDEX($B$5:$B$10,4))</f>
        <v/>
      </c>
      <c r="O13" s="14" t="n"/>
      <c r="P13" s="13">
        <f>IF(INDEX($B$5:$B$10,5)="","5. bye","5. "&amp;INDEX($B$5:$B$10,5))</f>
        <v/>
      </c>
      <c r="R13" t="n">
        <v>4</v>
      </c>
      <c r="S13" t="n">
        <v>5</v>
      </c>
      <c r="T13">
        <f>IF(OR(O13="1-0",O13="½-½",O13="0-1"),1,0)</f>
        <v/>
      </c>
      <c r="U13">
        <f>IF(O13="1-0",1,IF(O13="½-½",0.5,0))</f>
        <v/>
      </c>
      <c r="V13">
        <f>IF(O13="0-1",1,IF(O13="½-½",0.5,0))</f>
        <v/>
      </c>
      <c r="W13">
        <f>U13*INDEX($Y$5:$Y$10,5)</f>
        <v/>
      </c>
      <c r="X13">
        <f>V13*INDEX($Y$5:$Y$10,4)</f>
        <v/>
      </c>
    </row>
    <row r="14">
      <c r="M14" s="4" t="n">
        <v>4</v>
      </c>
      <c r="N14" s="10">
        <f>IF(INDEX($B$5:$B$10,6)="","6. bye","6. "&amp;INDEX($B$5:$B$10,6))</f>
        <v/>
      </c>
      <c r="O14" s="11" t="n"/>
      <c r="P14" s="10">
        <f>IF(INDEX($B$5:$B$10,5)="","5. bye","5. "&amp;INDEX($B$5:$B$10,5))</f>
        <v/>
      </c>
      <c r="R14" t="n">
        <v>6</v>
      </c>
      <c r="S14" t="n">
        <v>5</v>
      </c>
      <c r="T14">
        <f>IF(OR(O14="1-0",O14="½-½",O14="0-1"),1,0)</f>
        <v/>
      </c>
      <c r="U14">
        <f>IF(O14="1-0",1,IF(O14="½-½",0.5,0))</f>
        <v/>
      </c>
      <c r="V14">
        <f>IF(O14="0-1",1,IF(O14="½-½",0.5,0))</f>
        <v/>
      </c>
      <c r="W14">
        <f>U14*INDEX($Y$5:$Y$10,5)</f>
        <v/>
      </c>
      <c r="X14">
        <f>V14*INDEX($Y$5:$Y$10,6)</f>
        <v/>
      </c>
    </row>
    <row r="15">
      <c r="M15" s="4" t="n">
        <v>4</v>
      </c>
      <c r="N15" s="10">
        <f>IF(INDEX($B$5:$B$10,1)="","1. bye","1. "&amp;INDEX($B$5:$B$10,1))</f>
        <v/>
      </c>
      <c r="O15" s="11" t="n"/>
      <c r="P15" s="10">
        <f>IF(INDEX($B$5:$B$10,4)="","4. bye","4. "&amp;INDEX($B$5:$B$10,4))</f>
        <v/>
      </c>
      <c r="R15" t="n">
        <v>1</v>
      </c>
      <c r="S15" t="n">
        <v>4</v>
      </c>
      <c r="T15">
        <f>IF(OR(O15="1-0",O15="½-½",O15="0-1"),1,0)</f>
        <v/>
      </c>
      <c r="U15">
        <f>IF(O15="1-0",1,IF(O15="½-½",0.5,0))</f>
        <v/>
      </c>
      <c r="V15">
        <f>IF(O15="0-1",1,IF(O15="½-½",0.5,0))</f>
        <v/>
      </c>
      <c r="W15">
        <f>U15*INDEX($Y$5:$Y$10,4)</f>
        <v/>
      </c>
      <c r="X15">
        <f>V15*INDEX($Y$5:$Y$10,1)</f>
        <v/>
      </c>
    </row>
    <row r="16">
      <c r="M16" s="12" t="n">
        <v>4</v>
      </c>
      <c r="N16" s="13">
        <f>IF(INDEX($B$5:$B$10,2)="","2. bye","2. "&amp;INDEX($B$5:$B$10,2))</f>
        <v/>
      </c>
      <c r="O16" s="14" t="n"/>
      <c r="P16" s="13">
        <f>IF(INDEX($B$5:$B$10,3)="","3. bye","3. "&amp;INDEX($B$5:$B$10,3))</f>
        <v/>
      </c>
      <c r="R16" t="n">
        <v>2</v>
      </c>
      <c r="S16" t="n">
        <v>3</v>
      </c>
      <c r="T16">
        <f>IF(OR(O16="1-0",O16="½-½",O16="0-1"),1,0)</f>
        <v/>
      </c>
      <c r="U16">
        <f>IF(O16="1-0",1,IF(O16="½-½",0.5,0))</f>
        <v/>
      </c>
      <c r="V16">
        <f>IF(O16="0-1",1,IF(O16="½-½",0.5,0))</f>
        <v/>
      </c>
      <c r="W16">
        <f>U16*INDEX($Y$5:$Y$10,3)</f>
        <v/>
      </c>
      <c r="X16">
        <f>V16*INDEX($Y$5:$Y$10,2)</f>
        <v/>
      </c>
    </row>
    <row r="17">
      <c r="M17" s="4" t="n">
        <v>5</v>
      </c>
      <c r="N17" s="10">
        <f>IF(INDEX($B$5:$B$10,3)="","3. bye","3. "&amp;INDEX($B$5:$B$10,3))</f>
        <v/>
      </c>
      <c r="O17" s="11" t="n"/>
      <c r="P17" s="10">
        <f>IF(INDEX($B$5:$B$10,6)="","6. bye","6. "&amp;INDEX($B$5:$B$10,6))</f>
        <v/>
      </c>
      <c r="R17" t="n">
        <v>3</v>
      </c>
      <c r="S17" t="n">
        <v>6</v>
      </c>
      <c r="T17">
        <f>IF(OR(O17="1-0",O17="½-½",O17="0-1"),1,0)</f>
        <v/>
      </c>
      <c r="U17">
        <f>IF(O17="1-0",1,IF(O17="½-½",0.5,0))</f>
        <v/>
      </c>
      <c r="V17">
        <f>IF(O17="0-1",1,IF(O17="½-½",0.5,0))</f>
        <v/>
      </c>
      <c r="W17">
        <f>U17*INDEX($Y$5:$Y$10,6)</f>
        <v/>
      </c>
      <c r="X17">
        <f>V17*INDEX($Y$5:$Y$10,3)</f>
        <v/>
      </c>
    </row>
    <row r="18">
      <c r="M18" s="4" t="n">
        <v>5</v>
      </c>
      <c r="N18" s="10">
        <f>IF(INDEX($B$5:$B$10,4)="","4. bye","4. "&amp;INDEX($B$5:$B$10,4))</f>
        <v/>
      </c>
      <c r="O18" s="11" t="n"/>
      <c r="P18" s="10">
        <f>IF(INDEX($B$5:$B$10,2)="","2. bye","2. "&amp;INDEX($B$5:$B$10,2))</f>
        <v/>
      </c>
      <c r="R18" t="n">
        <v>4</v>
      </c>
      <c r="S18" t="n">
        <v>2</v>
      </c>
      <c r="T18">
        <f>IF(OR(O18="1-0",O18="½-½",O18="0-1"),1,0)</f>
        <v/>
      </c>
      <c r="U18">
        <f>IF(O18="1-0",1,IF(O18="½-½",0.5,0))</f>
        <v/>
      </c>
      <c r="V18">
        <f>IF(O18="0-1",1,IF(O18="½-½",0.5,0))</f>
        <v/>
      </c>
      <c r="W18">
        <f>U18*INDEX($Y$5:$Y$10,2)</f>
        <v/>
      </c>
      <c r="X18">
        <f>V18*INDEX($Y$5:$Y$10,4)</f>
        <v/>
      </c>
    </row>
    <row r="19">
      <c r="M19" s="4" t="n">
        <v>5</v>
      </c>
      <c r="N19" s="10">
        <f>IF(INDEX($B$5:$B$10,5)="","5. bye","5. "&amp;INDEX($B$5:$B$10,5))</f>
        <v/>
      </c>
      <c r="O19" s="11" t="n"/>
      <c r="P19" s="10">
        <f>IF(INDEX($B$5:$B$10,1)="","1. bye","1. "&amp;INDEX($B$5:$B$10,1))</f>
        <v/>
      </c>
      <c r="R19" t="n">
        <v>5</v>
      </c>
      <c r="S19" t="n">
        <v>1</v>
      </c>
      <c r="T19">
        <f>IF(OR(O19="1-0",O19="½-½",O19="0-1"),1,0)</f>
        <v/>
      </c>
      <c r="U19">
        <f>IF(O19="1-0",1,IF(O19="½-½",0.5,0))</f>
        <v/>
      </c>
      <c r="V19">
        <f>IF(O19="0-1",1,IF(O19="½-½",0.5,0))</f>
        <v/>
      </c>
      <c r="W19">
        <f>U19*INDEX($Y$5:$Y$10,1)</f>
        <v/>
      </c>
      <c r="X19">
        <f>V19*INDEX($Y$5:$Y$10,5)</f>
        <v/>
      </c>
    </row>
  </sheetData>
  <dataValidations count="1">
    <dataValidation sqref="O5 O6 O7 O8 O9 O10 O11 O12 O13 O14 O15 O16 O17 O18 O19" showDropDown="0" showInputMessage="0" showErrorMessage="1" allowBlank="1" errorTitle="Result" error="Pick 1-0, ½-½ or 0-1 from the list." type="list">
      <formula1>"1-0,½-½,0-1"</formula1>
    </dataValidation>
  </dataValidations>
  <printOptions horizontalCentered="1"/>
  <pageMargins left="0.4" right="0.4" top="1" bottom="1" header="0.5" footer="0.5"/>
  <pageSetup orientation="landscape" paperSize="1" fitToHeight="0" fitToWidth="1"/>
  <headerFooter>
    <oddHeader/>
    <oddFooter>&amp;C&amp;8 illuminationdevelopment.com/printables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5" customWidth="1" min="3" max="3"/>
    <col width="5" customWidth="1" min="4" max="4"/>
    <col width="5" customWidth="1" min="5" max="5"/>
    <col width="5" customWidth="1" min="6" max="6"/>
    <col width="7" customWidth="1" min="7" max="7"/>
    <col width="7" customWidth="1" min="8" max="8"/>
    <col width="7" customWidth="1" min="9" max="9"/>
    <col width="3" customWidth="1" min="10" max="10"/>
    <col width="7" customWidth="1" min="11" max="11"/>
    <col width="18" customWidth="1" min="12" max="12"/>
    <col width="8" customWidth="1" min="13" max="13"/>
    <col width="18" customWidth="1" min="14" max="14"/>
    <col width="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24" customHeight="1">
      <c r="A1" s="1" t="inlineStr">
        <is>
          <t>Round robin, 3 or 4 players</t>
        </is>
      </c>
    </row>
    <row r="2">
      <c r="A2" s="2" t="inlineStr">
        <is>
          <t>Type the names in the yellow cells and pick each result from the list. With 3 players, leave No. 4 empty: whoever meets No. 4 has the bye.</t>
        </is>
      </c>
    </row>
    <row r="4" ht="20" customHeight="1">
      <c r="A4" s="3" t="inlineStr">
        <is>
          <t>No.</t>
        </is>
      </c>
      <c r="B4" s="3" t="inlineStr">
        <is>
          <t>Player</t>
        </is>
      </c>
      <c r="C4" s="3" t="inlineStr">
        <is>
          <t>1</t>
        </is>
      </c>
      <c r="D4" s="3" t="inlineStr">
        <is>
          <t>2</t>
        </is>
      </c>
      <c r="E4" s="3" t="inlineStr">
        <is>
          <t>3</t>
        </is>
      </c>
      <c r="F4" s="3" t="inlineStr">
        <is>
          <t>4</t>
        </is>
      </c>
      <c r="G4" s="3" t="inlineStr">
        <is>
          <t>Score</t>
        </is>
      </c>
      <c r="H4" s="3" t="inlineStr">
        <is>
          <t>SB</t>
        </is>
      </c>
      <c r="I4" s="3" t="inlineStr">
        <is>
          <t>Place</t>
        </is>
      </c>
      <c r="K4" s="3" t="inlineStr">
        <is>
          <t>Round</t>
        </is>
      </c>
      <c r="L4" s="3" t="inlineStr">
        <is>
          <t>White</t>
        </is>
      </c>
      <c r="M4" s="3" t="inlineStr">
        <is>
          <t>Result</t>
        </is>
      </c>
      <c r="N4" s="3" t="inlineStr">
        <is>
          <t>Black</t>
        </is>
      </c>
      <c r="P4" s="2" t="inlineStr">
        <is>
          <t>W no.</t>
        </is>
      </c>
      <c r="Q4" s="2" t="inlineStr">
        <is>
          <t>B no.</t>
        </is>
      </c>
      <c r="R4" s="2" t="inlineStr">
        <is>
          <t>Played</t>
        </is>
      </c>
      <c r="S4" s="2" t="inlineStr">
        <is>
          <t>W pts</t>
        </is>
      </c>
      <c r="T4" s="2" t="inlineStr">
        <is>
          <t>B pts</t>
        </is>
      </c>
      <c r="U4" s="2" t="inlineStr">
        <is>
          <t>W SB</t>
        </is>
      </c>
      <c r="V4" s="2" t="inlineStr">
        <is>
          <t>B SB</t>
        </is>
      </c>
      <c r="W4" s="2" t="inlineStr">
        <is>
          <t>Score</t>
        </is>
      </c>
      <c r="X4" s="2" t="inlineStr">
        <is>
          <t>In</t>
        </is>
      </c>
    </row>
    <row r="5">
      <c r="A5" s="4" t="n">
        <v>1</v>
      </c>
      <c r="B5" s="5" t="n"/>
      <c r="C5" s="6" t="n"/>
      <c r="D5" s="4">
        <f>IF(COUNTIFS($P$5:$P$10,1,$Q$5:$Q$10,2,$R$5:$R$10,1)+COUNTIFS($P$5:$P$10,2,$Q$5:$Q$10,1,$R$5:$R$10,1)=0,"",CHOOSE((SUMIFS($S$5:$S$10,$P$5:$P$10,1,$Q$5:$Q$10,2)+SUMIFS($T$5:$T$10,$P$5:$P$10,2,$Q$5:$Q$10,1))*2+1,"0","½","1"))</f>
        <v/>
      </c>
      <c r="E5" s="4">
        <f>IF(COUNTIFS($P$5:$P$10,1,$Q$5:$Q$10,3,$R$5:$R$10,1)+COUNTIFS($P$5:$P$10,3,$Q$5:$Q$10,1,$R$5:$R$10,1)=0,"",CHOOSE((SUMIFS($S$5:$S$10,$P$5:$P$10,1,$Q$5:$Q$10,3)+SUMIFS($T$5:$T$10,$P$5:$P$10,3,$Q$5:$Q$10,1))*2+1,"0","½","1"))</f>
        <v/>
      </c>
      <c r="F5" s="4">
        <f>IF(COUNTIFS($P$5:$P$10,1,$Q$5:$Q$10,4,$R$5:$R$10,1)+COUNTIFS($P$5:$P$10,4,$Q$5:$Q$10,1,$R$5:$R$10,1)=0,"",CHOOSE((SUMIFS($S$5:$S$10,$P$5:$P$10,1,$Q$5:$Q$10,4)+SUMIFS($T$5:$T$10,$P$5:$P$10,4,$Q$5:$Q$10,1))*2+1,"0","½","1"))</f>
        <v/>
      </c>
      <c r="G5" s="7">
        <f>IF(B5="","",W5)</f>
        <v/>
      </c>
      <c r="H5" s="8">
        <f>IF(B5="","",SUMIF($P$5:$P$10,1,$U$5:$U$10)+SUMIF($Q$5:$Q$10,1,$V$5:$V$10))</f>
        <v/>
      </c>
      <c r="I5" s="9">
        <f>IF(B5="","",COUNTIFS($X$5:$X$8,1,$W$5:$W$8,"&gt;"&amp;W5)+COUNTIFS($X$5:$X$8,1,$W$5:$W$8,W5,$H$5:$H$8,"&gt;"&amp;H5)+1)</f>
        <v/>
      </c>
      <c r="K5" s="4" t="n">
        <v>1</v>
      </c>
      <c r="L5" s="10">
        <f>IF(INDEX($B$5:$B$8,1)="","1. bye","1. "&amp;INDEX($B$5:$B$8,1))</f>
        <v/>
      </c>
      <c r="M5" s="11" t="n"/>
      <c r="N5" s="10">
        <f>IF(INDEX($B$5:$B$8,4)="","4. bye","4. "&amp;INDEX($B$5:$B$8,4))</f>
        <v/>
      </c>
      <c r="P5" t="n">
        <v>1</v>
      </c>
      <c r="Q5" t="n">
        <v>4</v>
      </c>
      <c r="R5">
        <f>IF(OR(M5="1-0",M5="½-½",M5="0-1"),1,0)</f>
        <v/>
      </c>
      <c r="S5">
        <f>IF(M5="1-0",1,IF(M5="½-½",0.5,0))</f>
        <v/>
      </c>
      <c r="T5">
        <f>IF(M5="0-1",1,IF(M5="½-½",0.5,0))</f>
        <v/>
      </c>
      <c r="U5">
        <f>S5*INDEX($W$5:$W$8,4)</f>
        <v/>
      </c>
      <c r="V5">
        <f>T5*INDEX($W$5:$W$8,1)</f>
        <v/>
      </c>
      <c r="W5">
        <f>SUMIF($P$5:$P$10,1,$S$5:$S$10)+SUMIF($Q$5:$Q$10,1,$T$5:$T$10)</f>
        <v/>
      </c>
      <c r="X5">
        <f>IF(B5="",0,1)</f>
        <v/>
      </c>
    </row>
    <row r="6">
      <c r="A6" s="4" t="n">
        <v>2</v>
      </c>
      <c r="B6" s="5" t="n"/>
      <c r="C6" s="4">
        <f>IF(COUNTIFS($P$5:$P$10,2,$Q$5:$Q$10,1,$R$5:$R$10,1)+COUNTIFS($P$5:$P$10,1,$Q$5:$Q$10,2,$R$5:$R$10,1)=0,"",CHOOSE((SUMIFS($S$5:$S$10,$P$5:$P$10,2,$Q$5:$Q$10,1)+SUMIFS($T$5:$T$10,$P$5:$P$10,1,$Q$5:$Q$10,2))*2+1,"0","½","1"))</f>
        <v/>
      </c>
      <c r="D6" s="6" t="n"/>
      <c r="E6" s="4">
        <f>IF(COUNTIFS($P$5:$P$10,2,$Q$5:$Q$10,3,$R$5:$R$10,1)+COUNTIFS($P$5:$P$10,3,$Q$5:$Q$10,2,$R$5:$R$10,1)=0,"",CHOOSE((SUMIFS($S$5:$S$10,$P$5:$P$10,2,$Q$5:$Q$10,3)+SUMIFS($T$5:$T$10,$P$5:$P$10,3,$Q$5:$Q$10,2))*2+1,"0","½","1"))</f>
        <v/>
      </c>
      <c r="F6" s="4">
        <f>IF(COUNTIFS($P$5:$P$10,2,$Q$5:$Q$10,4,$R$5:$R$10,1)+COUNTIFS($P$5:$P$10,4,$Q$5:$Q$10,2,$R$5:$R$10,1)=0,"",CHOOSE((SUMIFS($S$5:$S$10,$P$5:$P$10,2,$Q$5:$Q$10,4)+SUMIFS($T$5:$T$10,$P$5:$P$10,4,$Q$5:$Q$10,2))*2+1,"0","½","1"))</f>
        <v/>
      </c>
      <c r="G6" s="7">
        <f>IF(B6="","",W6)</f>
        <v/>
      </c>
      <c r="H6" s="8">
        <f>IF(B6="","",SUMIF($P$5:$P$10,2,$U$5:$U$10)+SUMIF($Q$5:$Q$10,2,$V$5:$V$10))</f>
        <v/>
      </c>
      <c r="I6" s="9">
        <f>IF(B6="","",COUNTIFS($X$5:$X$8,1,$W$5:$W$8,"&gt;"&amp;W6)+COUNTIFS($X$5:$X$8,1,$W$5:$W$8,W6,$H$5:$H$8,"&gt;"&amp;H6)+1)</f>
        <v/>
      </c>
      <c r="K6" s="12" t="n">
        <v>1</v>
      </c>
      <c r="L6" s="13">
        <f>IF(INDEX($B$5:$B$8,2)="","2. bye","2. "&amp;INDEX($B$5:$B$8,2))</f>
        <v/>
      </c>
      <c r="M6" s="14" t="n"/>
      <c r="N6" s="13">
        <f>IF(INDEX($B$5:$B$8,3)="","3. bye","3. "&amp;INDEX($B$5:$B$8,3))</f>
        <v/>
      </c>
      <c r="P6" t="n">
        <v>2</v>
      </c>
      <c r="Q6" t="n">
        <v>3</v>
      </c>
      <c r="R6">
        <f>IF(OR(M6="1-0",M6="½-½",M6="0-1"),1,0)</f>
        <v/>
      </c>
      <c r="S6">
        <f>IF(M6="1-0",1,IF(M6="½-½",0.5,0))</f>
        <v/>
      </c>
      <c r="T6">
        <f>IF(M6="0-1",1,IF(M6="½-½",0.5,0))</f>
        <v/>
      </c>
      <c r="U6">
        <f>S6*INDEX($W$5:$W$8,3)</f>
        <v/>
      </c>
      <c r="V6">
        <f>T6*INDEX($W$5:$W$8,2)</f>
        <v/>
      </c>
      <c r="W6">
        <f>SUMIF($P$5:$P$10,2,$S$5:$S$10)+SUMIF($Q$5:$Q$10,2,$T$5:$T$10)</f>
        <v/>
      </c>
      <c r="X6">
        <f>IF(B6="",0,1)</f>
        <v/>
      </c>
    </row>
    <row r="7">
      <c r="A7" s="4" t="n">
        <v>3</v>
      </c>
      <c r="B7" s="5" t="n"/>
      <c r="C7" s="4">
        <f>IF(COUNTIFS($P$5:$P$10,3,$Q$5:$Q$10,1,$R$5:$R$10,1)+COUNTIFS($P$5:$P$10,1,$Q$5:$Q$10,3,$R$5:$R$10,1)=0,"",CHOOSE((SUMIFS($S$5:$S$10,$P$5:$P$10,3,$Q$5:$Q$10,1)+SUMIFS($T$5:$T$10,$P$5:$P$10,1,$Q$5:$Q$10,3))*2+1,"0","½","1"))</f>
        <v/>
      </c>
      <c r="D7" s="4">
        <f>IF(COUNTIFS($P$5:$P$10,3,$Q$5:$Q$10,2,$R$5:$R$10,1)+COUNTIFS($P$5:$P$10,2,$Q$5:$Q$10,3,$R$5:$R$10,1)=0,"",CHOOSE((SUMIFS($S$5:$S$10,$P$5:$P$10,3,$Q$5:$Q$10,2)+SUMIFS($T$5:$T$10,$P$5:$P$10,2,$Q$5:$Q$10,3))*2+1,"0","½","1"))</f>
        <v/>
      </c>
      <c r="E7" s="6" t="n"/>
      <c r="F7" s="4">
        <f>IF(COUNTIFS($P$5:$P$10,3,$Q$5:$Q$10,4,$R$5:$R$10,1)+COUNTIFS($P$5:$P$10,4,$Q$5:$Q$10,3,$R$5:$R$10,1)=0,"",CHOOSE((SUMIFS($S$5:$S$10,$P$5:$P$10,3,$Q$5:$Q$10,4)+SUMIFS($T$5:$T$10,$P$5:$P$10,4,$Q$5:$Q$10,3))*2+1,"0","½","1"))</f>
        <v/>
      </c>
      <c r="G7" s="7">
        <f>IF(B7="","",W7)</f>
        <v/>
      </c>
      <c r="H7" s="8">
        <f>IF(B7="","",SUMIF($P$5:$P$10,3,$U$5:$U$10)+SUMIF($Q$5:$Q$10,3,$V$5:$V$10))</f>
        <v/>
      </c>
      <c r="I7" s="9">
        <f>IF(B7="","",COUNTIFS($X$5:$X$8,1,$W$5:$W$8,"&gt;"&amp;W7)+COUNTIFS($X$5:$X$8,1,$W$5:$W$8,W7,$H$5:$H$8,"&gt;"&amp;H7)+1)</f>
        <v/>
      </c>
      <c r="K7" s="4" t="n">
        <v>2</v>
      </c>
      <c r="L7" s="10">
        <f>IF(INDEX($B$5:$B$8,4)="","4. bye","4. "&amp;INDEX($B$5:$B$8,4))</f>
        <v/>
      </c>
      <c r="M7" s="11" t="n"/>
      <c r="N7" s="10">
        <f>IF(INDEX($B$5:$B$8,3)="","3. bye","3. "&amp;INDEX($B$5:$B$8,3))</f>
        <v/>
      </c>
      <c r="P7" t="n">
        <v>4</v>
      </c>
      <c r="Q7" t="n">
        <v>3</v>
      </c>
      <c r="R7">
        <f>IF(OR(M7="1-0",M7="½-½",M7="0-1"),1,0)</f>
        <v/>
      </c>
      <c r="S7">
        <f>IF(M7="1-0",1,IF(M7="½-½",0.5,0))</f>
        <v/>
      </c>
      <c r="T7">
        <f>IF(M7="0-1",1,IF(M7="½-½",0.5,0))</f>
        <v/>
      </c>
      <c r="U7">
        <f>S7*INDEX($W$5:$W$8,3)</f>
        <v/>
      </c>
      <c r="V7">
        <f>T7*INDEX($W$5:$W$8,4)</f>
        <v/>
      </c>
      <c r="W7">
        <f>SUMIF($P$5:$P$10,3,$S$5:$S$10)+SUMIF($Q$5:$Q$10,3,$T$5:$T$10)</f>
        <v/>
      </c>
      <c r="X7">
        <f>IF(B7="",0,1)</f>
        <v/>
      </c>
    </row>
    <row r="8">
      <c r="A8" s="4" t="n">
        <v>4</v>
      </c>
      <c r="B8" s="5" t="n"/>
      <c r="C8" s="4">
        <f>IF(COUNTIFS($P$5:$P$10,4,$Q$5:$Q$10,1,$R$5:$R$10,1)+COUNTIFS($P$5:$P$10,1,$Q$5:$Q$10,4,$R$5:$R$10,1)=0,"",CHOOSE((SUMIFS($S$5:$S$10,$P$5:$P$10,4,$Q$5:$Q$10,1)+SUMIFS($T$5:$T$10,$P$5:$P$10,1,$Q$5:$Q$10,4))*2+1,"0","½","1"))</f>
        <v/>
      </c>
      <c r="D8" s="4">
        <f>IF(COUNTIFS($P$5:$P$10,4,$Q$5:$Q$10,2,$R$5:$R$10,1)+COUNTIFS($P$5:$P$10,2,$Q$5:$Q$10,4,$R$5:$R$10,1)=0,"",CHOOSE((SUMIFS($S$5:$S$10,$P$5:$P$10,4,$Q$5:$Q$10,2)+SUMIFS($T$5:$T$10,$P$5:$P$10,2,$Q$5:$Q$10,4))*2+1,"0","½","1"))</f>
        <v/>
      </c>
      <c r="E8" s="4">
        <f>IF(COUNTIFS($P$5:$P$10,4,$Q$5:$Q$10,3,$R$5:$R$10,1)+COUNTIFS($P$5:$P$10,3,$Q$5:$Q$10,4,$R$5:$R$10,1)=0,"",CHOOSE((SUMIFS($S$5:$S$10,$P$5:$P$10,4,$Q$5:$Q$10,3)+SUMIFS($T$5:$T$10,$P$5:$P$10,3,$Q$5:$Q$10,4))*2+1,"0","½","1"))</f>
        <v/>
      </c>
      <c r="F8" s="6" t="n"/>
      <c r="G8" s="7">
        <f>IF(B8="","",W8)</f>
        <v/>
      </c>
      <c r="H8" s="8">
        <f>IF(B8="","",SUMIF($P$5:$P$10,4,$U$5:$U$10)+SUMIF($Q$5:$Q$10,4,$V$5:$V$10))</f>
        <v/>
      </c>
      <c r="I8" s="9">
        <f>IF(B8="","",COUNTIFS($X$5:$X$8,1,$W$5:$W$8,"&gt;"&amp;W8)+COUNTIFS($X$5:$X$8,1,$W$5:$W$8,W8,$H$5:$H$8,"&gt;"&amp;H8)+1)</f>
        <v/>
      </c>
      <c r="K8" s="12" t="n">
        <v>2</v>
      </c>
      <c r="L8" s="13">
        <f>IF(INDEX($B$5:$B$8,1)="","1. bye","1. "&amp;INDEX($B$5:$B$8,1))</f>
        <v/>
      </c>
      <c r="M8" s="14" t="n"/>
      <c r="N8" s="13">
        <f>IF(INDEX($B$5:$B$8,2)="","2. bye","2. "&amp;INDEX($B$5:$B$8,2))</f>
        <v/>
      </c>
      <c r="P8" t="n">
        <v>1</v>
      </c>
      <c r="Q8" t="n">
        <v>2</v>
      </c>
      <c r="R8">
        <f>IF(OR(M8="1-0",M8="½-½",M8="0-1"),1,0)</f>
        <v/>
      </c>
      <c r="S8">
        <f>IF(M8="1-0",1,IF(M8="½-½",0.5,0))</f>
        <v/>
      </c>
      <c r="T8">
        <f>IF(M8="0-1",1,IF(M8="½-½",0.5,0))</f>
        <v/>
      </c>
      <c r="U8">
        <f>S8*INDEX($W$5:$W$8,2)</f>
        <v/>
      </c>
      <c r="V8">
        <f>T8*INDEX($W$5:$W$8,1)</f>
        <v/>
      </c>
      <c r="W8">
        <f>SUMIF($P$5:$P$10,4,$S$5:$S$10)+SUMIF($Q$5:$Q$10,4,$T$5:$T$10)</f>
        <v/>
      </c>
      <c r="X8">
        <f>IF(B8="",0,1)</f>
        <v/>
      </c>
    </row>
    <row r="9">
      <c r="K9" s="4" t="n">
        <v>3</v>
      </c>
      <c r="L9" s="10">
        <f>IF(INDEX($B$5:$B$8,2)="","2. bye","2. "&amp;INDEX($B$5:$B$8,2))</f>
        <v/>
      </c>
      <c r="M9" s="11" t="n"/>
      <c r="N9" s="10">
        <f>IF(INDEX($B$5:$B$8,4)="","4. bye","4. "&amp;INDEX($B$5:$B$8,4))</f>
        <v/>
      </c>
      <c r="P9" t="n">
        <v>2</v>
      </c>
      <c r="Q9" t="n">
        <v>4</v>
      </c>
      <c r="R9">
        <f>IF(OR(M9="1-0",M9="½-½",M9="0-1"),1,0)</f>
        <v/>
      </c>
      <c r="S9">
        <f>IF(M9="1-0",1,IF(M9="½-½",0.5,0))</f>
        <v/>
      </c>
      <c r="T9">
        <f>IF(M9="0-1",1,IF(M9="½-½",0.5,0))</f>
        <v/>
      </c>
      <c r="U9">
        <f>S9*INDEX($W$5:$W$8,4)</f>
        <v/>
      </c>
      <c r="V9">
        <f>T9*INDEX($W$5:$W$8,2)</f>
        <v/>
      </c>
    </row>
    <row r="10">
      <c r="K10" s="4" t="n">
        <v>3</v>
      </c>
      <c r="L10" s="10">
        <f>IF(INDEX($B$5:$B$8,3)="","3. bye","3. "&amp;INDEX($B$5:$B$8,3))</f>
        <v/>
      </c>
      <c r="M10" s="11" t="n"/>
      <c r="N10" s="10">
        <f>IF(INDEX($B$5:$B$8,1)="","1. bye","1. "&amp;INDEX($B$5:$B$8,1))</f>
        <v/>
      </c>
      <c r="P10" t="n">
        <v>3</v>
      </c>
      <c r="Q10" t="n">
        <v>1</v>
      </c>
      <c r="R10">
        <f>IF(OR(M10="1-0",M10="½-½",M10="0-1"),1,0)</f>
        <v/>
      </c>
      <c r="S10">
        <f>IF(M10="1-0",1,IF(M10="½-½",0.5,0))</f>
        <v/>
      </c>
      <c r="T10">
        <f>IF(M10="0-1",1,IF(M10="½-½",0.5,0))</f>
        <v/>
      </c>
      <c r="U10">
        <f>S10*INDEX($W$5:$W$8,1)</f>
        <v/>
      </c>
      <c r="V10">
        <f>T10*INDEX($W$5:$W$8,3)</f>
        <v/>
      </c>
    </row>
  </sheetData>
  <dataValidations count="1">
    <dataValidation sqref="M5 M6 M7 M8 M9 M10" showDropDown="0" showInputMessage="0" showErrorMessage="1" allowBlank="1" errorTitle="Result" error="Pick 1-0, ½-½ or 0-1 from the list." type="list">
      <formula1>"1-0,½-½,0-1"</formula1>
    </dataValidation>
  </dataValidations>
  <printOptions horizontalCentered="1"/>
  <pageMargins left="0.4" right="0.4" top="1" bottom="1" header="0.5" footer="0.5"/>
  <pageSetup orientation="landscape" paperSize="1" fitToHeight="0" fitToWidth="1"/>
  <headerFooter>
    <oddHeader/>
    <oddFooter>&amp;C&amp;8 illuminationdevelopment.com/printables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7" customWidth="1" min="9" max="9"/>
    <col width="7" customWidth="1" min="10" max="10"/>
    <col width="7" customWidth="1" min="11" max="11"/>
    <col width="3" customWidth="1" min="12" max="12"/>
    <col width="7" customWidth="1" min="13" max="13"/>
    <col width="18" customWidth="1" min="14" max="14"/>
    <col width="8" customWidth="1" min="15" max="15"/>
    <col width="18" customWidth="1" min="16" max="16"/>
    <col width="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24" customHeight="1">
      <c r="A1" s="1" t="inlineStr">
        <is>
          <t>Round robin, 5 or 6 players</t>
        </is>
      </c>
    </row>
    <row r="2">
      <c r="A2" s="2" t="inlineStr">
        <is>
          <t>Type the names in the yellow cells and pick each result from the list. With 5 players, leave No. 6 empty: whoever meets No. 6 has the bye.</t>
        </is>
      </c>
    </row>
    <row r="4" ht="20" customHeight="1">
      <c r="A4" s="3" t="inlineStr">
        <is>
          <t>No.</t>
        </is>
      </c>
      <c r="B4" s="3" t="inlineStr">
        <is>
          <t>Player</t>
        </is>
      </c>
      <c r="C4" s="3" t="inlineStr">
        <is>
          <t>1</t>
        </is>
      </c>
      <c r="D4" s="3" t="inlineStr">
        <is>
          <t>2</t>
        </is>
      </c>
      <c r="E4" s="3" t="inlineStr">
        <is>
          <t>3</t>
        </is>
      </c>
      <c r="F4" s="3" t="inlineStr">
        <is>
          <t>4</t>
        </is>
      </c>
      <c r="G4" s="3" t="inlineStr">
        <is>
          <t>5</t>
        </is>
      </c>
      <c r="H4" s="3" t="inlineStr">
        <is>
          <t>6</t>
        </is>
      </c>
      <c r="I4" s="3" t="inlineStr">
        <is>
          <t>Score</t>
        </is>
      </c>
      <c r="J4" s="3" t="inlineStr">
        <is>
          <t>SB</t>
        </is>
      </c>
      <c r="K4" s="3" t="inlineStr">
        <is>
          <t>Place</t>
        </is>
      </c>
      <c r="M4" s="3" t="inlineStr">
        <is>
          <t>Round</t>
        </is>
      </c>
      <c r="N4" s="3" t="inlineStr">
        <is>
          <t>White</t>
        </is>
      </c>
      <c r="O4" s="3" t="inlineStr">
        <is>
          <t>Result</t>
        </is>
      </c>
      <c r="P4" s="3" t="inlineStr">
        <is>
          <t>Black</t>
        </is>
      </c>
      <c r="R4" s="2" t="inlineStr">
        <is>
          <t>W no.</t>
        </is>
      </c>
      <c r="S4" s="2" t="inlineStr">
        <is>
          <t>B no.</t>
        </is>
      </c>
      <c r="T4" s="2" t="inlineStr">
        <is>
          <t>Played</t>
        </is>
      </c>
      <c r="U4" s="2" t="inlineStr">
        <is>
          <t>W pts</t>
        </is>
      </c>
      <c r="V4" s="2" t="inlineStr">
        <is>
          <t>B pts</t>
        </is>
      </c>
      <c r="W4" s="2" t="inlineStr">
        <is>
          <t>W SB</t>
        </is>
      </c>
      <c r="X4" s="2" t="inlineStr">
        <is>
          <t>B SB</t>
        </is>
      </c>
      <c r="Y4" s="2" t="inlineStr">
        <is>
          <t>Score</t>
        </is>
      </c>
      <c r="Z4" s="2" t="inlineStr">
        <is>
          <t>In</t>
        </is>
      </c>
    </row>
    <row r="5">
      <c r="A5" s="4" t="n">
        <v>1</v>
      </c>
      <c r="B5" s="5" t="inlineStr">
        <is>
          <t>Ana</t>
        </is>
      </c>
      <c r="C5" s="6" t="n"/>
      <c r="D5" s="4">
        <f>IF(COUNTIFS($R$5:$R$19,1,$S$5:$S$19,2,$T$5:$T$19,1)+COUNTIFS($R$5:$R$19,2,$S$5:$S$19,1,$T$5:$T$19,1)=0,"",CHOOSE((SUMIFS($U$5:$U$19,$R$5:$R$19,1,$S$5:$S$19,2)+SUMIFS($V$5:$V$19,$R$5:$R$19,2,$S$5:$S$19,1))*2+1,"0","½","1"))</f>
        <v/>
      </c>
      <c r="E5" s="4">
        <f>IF(COUNTIFS($R$5:$R$19,1,$S$5:$S$19,3,$T$5:$T$19,1)+COUNTIFS($R$5:$R$19,3,$S$5:$S$19,1,$T$5:$T$19,1)=0,"",CHOOSE((SUMIFS($U$5:$U$19,$R$5:$R$19,1,$S$5:$S$19,3)+SUMIFS($V$5:$V$19,$R$5:$R$19,3,$S$5:$S$19,1))*2+1,"0","½","1"))</f>
        <v/>
      </c>
      <c r="F5" s="4">
        <f>IF(COUNTIFS($R$5:$R$19,1,$S$5:$S$19,4,$T$5:$T$19,1)+COUNTIFS($R$5:$R$19,4,$S$5:$S$19,1,$T$5:$T$19,1)=0,"",CHOOSE((SUMIFS($U$5:$U$19,$R$5:$R$19,1,$S$5:$S$19,4)+SUMIFS($V$5:$V$19,$R$5:$R$19,4,$S$5:$S$19,1))*2+1,"0","½","1"))</f>
        <v/>
      </c>
      <c r="G5" s="4">
        <f>IF(COUNTIFS($R$5:$R$19,1,$S$5:$S$19,5,$T$5:$T$19,1)+COUNTIFS($R$5:$R$19,5,$S$5:$S$19,1,$T$5:$T$19,1)=0,"",CHOOSE((SUMIFS($U$5:$U$19,$R$5:$R$19,1,$S$5:$S$19,5)+SUMIFS($V$5:$V$19,$R$5:$R$19,5,$S$5:$S$19,1))*2+1,"0","½","1"))</f>
        <v/>
      </c>
      <c r="H5" s="4">
        <f>IF(COUNTIFS($R$5:$R$19,1,$S$5:$S$19,6,$T$5:$T$19,1)+COUNTIFS($R$5:$R$19,6,$S$5:$S$19,1,$T$5:$T$19,1)=0,"",CHOOSE((SUMIFS($U$5:$U$19,$R$5:$R$19,1,$S$5:$S$19,6)+SUMIFS($V$5:$V$19,$R$5:$R$19,6,$S$5:$S$19,1))*2+1,"0","½","1"))</f>
        <v/>
      </c>
      <c r="I5" s="7">
        <f>IF(B5="","",Y5)</f>
        <v/>
      </c>
      <c r="J5" s="8">
        <f>IF(B5="","",SUMIF($R$5:$R$19,1,$W$5:$W$19)+SUMIF($S$5:$S$19,1,$X$5:$X$19))</f>
        <v/>
      </c>
      <c r="K5" s="9">
        <f>IF(B5="","",COUNTIFS($Z$5:$Z$10,1,$Y$5:$Y$10,"&gt;"&amp;Y5)+COUNTIFS($Z$5:$Z$10,1,$Y$5:$Y$10,Y5,$J$5:$J$10,"&gt;"&amp;J5)+1)</f>
        <v/>
      </c>
      <c r="M5" s="4" t="n">
        <v>1</v>
      </c>
      <c r="N5" s="10">
        <f>IF(INDEX($B$5:$B$10,1)="","1. bye","1. "&amp;INDEX($B$5:$B$10,1))</f>
        <v/>
      </c>
      <c r="O5" s="11" t="inlineStr">
        <is>
          <t>1-0</t>
        </is>
      </c>
      <c r="P5" s="10">
        <f>IF(INDEX($B$5:$B$10,6)="","6. bye","6. "&amp;INDEX($B$5:$B$10,6))</f>
        <v/>
      </c>
      <c r="R5" t="n">
        <v>1</v>
      </c>
      <c r="S5" t="n">
        <v>6</v>
      </c>
      <c r="T5">
        <f>IF(OR(O5="1-0",O5="½-½",O5="0-1"),1,0)</f>
        <v/>
      </c>
      <c r="U5">
        <f>IF(O5="1-0",1,IF(O5="½-½",0.5,0))</f>
        <v/>
      </c>
      <c r="V5">
        <f>IF(O5="0-1",1,IF(O5="½-½",0.5,0))</f>
        <v/>
      </c>
      <c r="W5">
        <f>U5*INDEX($Y$5:$Y$10,6)</f>
        <v/>
      </c>
      <c r="X5">
        <f>V5*INDEX($Y$5:$Y$10,1)</f>
        <v/>
      </c>
      <c r="Y5">
        <f>SUMIF($R$5:$R$19,1,$U$5:$U$19)+SUMIF($S$5:$S$19,1,$V$5:$V$19)</f>
        <v/>
      </c>
      <c r="Z5">
        <f>IF(B5="",0,1)</f>
        <v/>
      </c>
    </row>
    <row r="6">
      <c r="A6" s="4" t="n">
        <v>2</v>
      </c>
      <c r="B6" s="5" t="inlineStr">
        <is>
          <t>Ben</t>
        </is>
      </c>
      <c r="C6" s="4">
        <f>IF(COUNTIFS($R$5:$R$19,2,$S$5:$S$19,1,$T$5:$T$19,1)+COUNTIFS($R$5:$R$19,1,$S$5:$S$19,2,$T$5:$T$19,1)=0,"",CHOOSE((SUMIFS($U$5:$U$19,$R$5:$R$19,2,$S$5:$S$19,1)+SUMIFS($V$5:$V$19,$R$5:$R$19,1,$S$5:$S$19,2))*2+1,"0","½","1"))</f>
        <v/>
      </c>
      <c r="D6" s="6" t="n"/>
      <c r="E6" s="4">
        <f>IF(COUNTIFS($R$5:$R$19,2,$S$5:$S$19,3,$T$5:$T$19,1)+COUNTIFS($R$5:$R$19,3,$S$5:$S$19,2,$T$5:$T$19,1)=0,"",CHOOSE((SUMIFS($U$5:$U$19,$R$5:$R$19,2,$S$5:$S$19,3)+SUMIFS($V$5:$V$19,$R$5:$R$19,3,$S$5:$S$19,2))*2+1,"0","½","1"))</f>
        <v/>
      </c>
      <c r="F6" s="4">
        <f>IF(COUNTIFS($R$5:$R$19,2,$S$5:$S$19,4,$T$5:$T$19,1)+COUNTIFS($R$5:$R$19,4,$S$5:$S$19,2,$T$5:$T$19,1)=0,"",CHOOSE((SUMIFS($U$5:$U$19,$R$5:$R$19,2,$S$5:$S$19,4)+SUMIFS($V$5:$V$19,$R$5:$R$19,4,$S$5:$S$19,2))*2+1,"0","½","1"))</f>
        <v/>
      </c>
      <c r="G6" s="4">
        <f>IF(COUNTIFS($R$5:$R$19,2,$S$5:$S$19,5,$T$5:$T$19,1)+COUNTIFS($R$5:$R$19,5,$S$5:$S$19,2,$T$5:$T$19,1)=0,"",CHOOSE((SUMIFS($U$5:$U$19,$R$5:$R$19,2,$S$5:$S$19,5)+SUMIFS($V$5:$V$19,$R$5:$R$19,5,$S$5:$S$19,2))*2+1,"0","½","1"))</f>
        <v/>
      </c>
      <c r="H6" s="4">
        <f>IF(COUNTIFS($R$5:$R$19,2,$S$5:$S$19,6,$T$5:$T$19,1)+COUNTIFS($R$5:$R$19,6,$S$5:$S$19,2,$T$5:$T$19,1)=0,"",CHOOSE((SUMIFS($U$5:$U$19,$R$5:$R$19,2,$S$5:$S$19,6)+SUMIFS($V$5:$V$19,$R$5:$R$19,6,$S$5:$S$19,2))*2+1,"0","½","1"))</f>
        <v/>
      </c>
      <c r="I6" s="7">
        <f>IF(B6="","",Y6)</f>
        <v/>
      </c>
      <c r="J6" s="8">
        <f>IF(B6="","",SUMIF($R$5:$R$19,2,$W$5:$W$19)+SUMIF($S$5:$S$19,2,$X$5:$X$19))</f>
        <v/>
      </c>
      <c r="K6" s="9">
        <f>IF(B6="","",COUNTIFS($Z$5:$Z$10,1,$Y$5:$Y$10,"&gt;"&amp;Y6)+COUNTIFS($Z$5:$Z$10,1,$Y$5:$Y$10,Y6,$J$5:$J$10,"&gt;"&amp;J6)+1)</f>
        <v/>
      </c>
      <c r="M6" s="4" t="n">
        <v>1</v>
      </c>
      <c r="N6" s="10">
        <f>IF(INDEX($B$5:$B$10,2)="","2. bye","2. "&amp;INDEX($B$5:$B$10,2))</f>
        <v/>
      </c>
      <c r="O6" s="11" t="inlineStr">
        <is>
          <t>½-½</t>
        </is>
      </c>
      <c r="P6" s="10">
        <f>IF(INDEX($B$5:$B$10,5)="","5. bye","5. "&amp;INDEX($B$5:$B$10,5))</f>
        <v/>
      </c>
      <c r="R6" t="n">
        <v>2</v>
      </c>
      <c r="S6" t="n">
        <v>5</v>
      </c>
      <c r="T6">
        <f>IF(OR(O6="1-0",O6="½-½",O6="0-1"),1,0)</f>
        <v/>
      </c>
      <c r="U6">
        <f>IF(O6="1-0",1,IF(O6="½-½",0.5,0))</f>
        <v/>
      </c>
      <c r="V6">
        <f>IF(O6="0-1",1,IF(O6="½-½",0.5,0))</f>
        <v/>
      </c>
      <c r="W6">
        <f>U6*INDEX($Y$5:$Y$10,5)</f>
        <v/>
      </c>
      <c r="X6">
        <f>V6*INDEX($Y$5:$Y$10,2)</f>
        <v/>
      </c>
      <c r="Y6">
        <f>SUMIF($R$5:$R$19,2,$U$5:$U$19)+SUMIF($S$5:$S$19,2,$V$5:$V$19)</f>
        <v/>
      </c>
      <c r="Z6">
        <f>IF(B6="",0,1)</f>
        <v/>
      </c>
    </row>
    <row r="7">
      <c r="A7" s="4" t="n">
        <v>3</v>
      </c>
      <c r="B7" s="5" t="inlineStr">
        <is>
          <t>Chloe</t>
        </is>
      </c>
      <c r="C7" s="4">
        <f>IF(COUNTIFS($R$5:$R$19,3,$S$5:$S$19,1,$T$5:$T$19,1)+COUNTIFS($R$5:$R$19,1,$S$5:$S$19,3,$T$5:$T$19,1)=0,"",CHOOSE((SUMIFS($U$5:$U$19,$R$5:$R$19,3,$S$5:$S$19,1)+SUMIFS($V$5:$V$19,$R$5:$R$19,1,$S$5:$S$19,3))*2+1,"0","½","1"))</f>
        <v/>
      </c>
      <c r="D7" s="4">
        <f>IF(COUNTIFS($R$5:$R$19,3,$S$5:$S$19,2,$T$5:$T$19,1)+COUNTIFS($R$5:$R$19,2,$S$5:$S$19,3,$T$5:$T$19,1)=0,"",CHOOSE((SUMIFS($U$5:$U$19,$R$5:$R$19,3,$S$5:$S$19,2)+SUMIFS($V$5:$V$19,$R$5:$R$19,2,$S$5:$S$19,3))*2+1,"0","½","1"))</f>
        <v/>
      </c>
      <c r="E7" s="6" t="n"/>
      <c r="F7" s="4">
        <f>IF(COUNTIFS($R$5:$R$19,3,$S$5:$S$19,4,$T$5:$T$19,1)+COUNTIFS($R$5:$R$19,4,$S$5:$S$19,3,$T$5:$T$19,1)=0,"",CHOOSE((SUMIFS($U$5:$U$19,$R$5:$R$19,3,$S$5:$S$19,4)+SUMIFS($V$5:$V$19,$R$5:$R$19,4,$S$5:$S$19,3))*2+1,"0","½","1"))</f>
        <v/>
      </c>
      <c r="G7" s="4">
        <f>IF(COUNTIFS($R$5:$R$19,3,$S$5:$S$19,5,$T$5:$T$19,1)+COUNTIFS($R$5:$R$19,5,$S$5:$S$19,3,$T$5:$T$19,1)=0,"",CHOOSE((SUMIFS($U$5:$U$19,$R$5:$R$19,3,$S$5:$S$19,5)+SUMIFS($V$5:$V$19,$R$5:$R$19,5,$S$5:$S$19,3))*2+1,"0","½","1"))</f>
        <v/>
      </c>
      <c r="H7" s="4">
        <f>IF(COUNTIFS($R$5:$R$19,3,$S$5:$S$19,6,$T$5:$T$19,1)+COUNTIFS($R$5:$R$19,6,$S$5:$S$19,3,$T$5:$T$19,1)=0,"",CHOOSE((SUMIFS($U$5:$U$19,$R$5:$R$19,3,$S$5:$S$19,6)+SUMIFS($V$5:$V$19,$R$5:$R$19,6,$S$5:$S$19,3))*2+1,"0","½","1"))</f>
        <v/>
      </c>
      <c r="I7" s="7">
        <f>IF(B7="","",Y7)</f>
        <v/>
      </c>
      <c r="J7" s="8">
        <f>IF(B7="","",SUMIF($R$5:$R$19,3,$W$5:$W$19)+SUMIF($S$5:$S$19,3,$X$5:$X$19))</f>
        <v/>
      </c>
      <c r="K7" s="9">
        <f>IF(B7="","",COUNTIFS($Z$5:$Z$10,1,$Y$5:$Y$10,"&gt;"&amp;Y7)+COUNTIFS($Z$5:$Z$10,1,$Y$5:$Y$10,Y7,$J$5:$J$10,"&gt;"&amp;J7)+1)</f>
        <v/>
      </c>
      <c r="M7" s="12" t="n">
        <v>1</v>
      </c>
      <c r="N7" s="13">
        <f>IF(INDEX($B$5:$B$10,3)="","3. bye","3. "&amp;INDEX($B$5:$B$10,3))</f>
        <v/>
      </c>
      <c r="O7" s="14" t="inlineStr">
        <is>
          <t>0-1</t>
        </is>
      </c>
      <c r="P7" s="13">
        <f>IF(INDEX($B$5:$B$10,4)="","4. bye","4. "&amp;INDEX($B$5:$B$10,4))</f>
        <v/>
      </c>
      <c r="R7" t="n">
        <v>3</v>
      </c>
      <c r="S7" t="n">
        <v>4</v>
      </c>
      <c r="T7">
        <f>IF(OR(O7="1-0",O7="½-½",O7="0-1"),1,0)</f>
        <v/>
      </c>
      <c r="U7">
        <f>IF(O7="1-0",1,IF(O7="½-½",0.5,0))</f>
        <v/>
      </c>
      <c r="V7">
        <f>IF(O7="0-1",1,IF(O7="½-½",0.5,0))</f>
        <v/>
      </c>
      <c r="W7">
        <f>U7*INDEX($Y$5:$Y$10,4)</f>
        <v/>
      </c>
      <c r="X7">
        <f>V7*INDEX($Y$5:$Y$10,3)</f>
        <v/>
      </c>
      <c r="Y7">
        <f>SUMIF($R$5:$R$19,3,$U$5:$U$19)+SUMIF($S$5:$S$19,3,$V$5:$V$19)</f>
        <v/>
      </c>
      <c r="Z7">
        <f>IF(B7="",0,1)</f>
        <v/>
      </c>
    </row>
    <row r="8">
      <c r="A8" s="4" t="n">
        <v>4</v>
      </c>
      <c r="B8" s="5" t="inlineStr">
        <is>
          <t>Dev</t>
        </is>
      </c>
      <c r="C8" s="4">
        <f>IF(COUNTIFS($R$5:$R$19,4,$S$5:$S$19,1,$T$5:$T$19,1)+COUNTIFS($R$5:$R$19,1,$S$5:$S$19,4,$T$5:$T$19,1)=0,"",CHOOSE((SUMIFS($U$5:$U$19,$R$5:$R$19,4,$S$5:$S$19,1)+SUMIFS($V$5:$V$19,$R$5:$R$19,1,$S$5:$S$19,4))*2+1,"0","½","1"))</f>
        <v/>
      </c>
      <c r="D8" s="4">
        <f>IF(COUNTIFS($R$5:$R$19,4,$S$5:$S$19,2,$T$5:$T$19,1)+COUNTIFS($R$5:$R$19,2,$S$5:$S$19,4,$T$5:$T$19,1)=0,"",CHOOSE((SUMIFS($U$5:$U$19,$R$5:$R$19,4,$S$5:$S$19,2)+SUMIFS($V$5:$V$19,$R$5:$R$19,2,$S$5:$S$19,4))*2+1,"0","½","1"))</f>
        <v/>
      </c>
      <c r="E8" s="4">
        <f>IF(COUNTIFS($R$5:$R$19,4,$S$5:$S$19,3,$T$5:$T$19,1)+COUNTIFS($R$5:$R$19,3,$S$5:$S$19,4,$T$5:$T$19,1)=0,"",CHOOSE((SUMIFS($U$5:$U$19,$R$5:$R$19,4,$S$5:$S$19,3)+SUMIFS($V$5:$V$19,$R$5:$R$19,3,$S$5:$S$19,4))*2+1,"0","½","1"))</f>
        <v/>
      </c>
      <c r="F8" s="6" t="n"/>
      <c r="G8" s="4">
        <f>IF(COUNTIFS($R$5:$R$19,4,$S$5:$S$19,5,$T$5:$T$19,1)+COUNTIFS($R$5:$R$19,5,$S$5:$S$19,4,$T$5:$T$19,1)=0,"",CHOOSE((SUMIFS($U$5:$U$19,$R$5:$R$19,4,$S$5:$S$19,5)+SUMIFS($V$5:$V$19,$R$5:$R$19,5,$S$5:$S$19,4))*2+1,"0","½","1"))</f>
        <v/>
      </c>
      <c r="H8" s="4">
        <f>IF(COUNTIFS($R$5:$R$19,4,$S$5:$S$19,6,$T$5:$T$19,1)+COUNTIFS($R$5:$R$19,6,$S$5:$S$19,4,$T$5:$T$19,1)=0,"",CHOOSE((SUMIFS($U$5:$U$19,$R$5:$R$19,4,$S$5:$S$19,6)+SUMIFS($V$5:$V$19,$R$5:$R$19,6,$S$5:$S$19,4))*2+1,"0","½","1"))</f>
        <v/>
      </c>
      <c r="I8" s="7">
        <f>IF(B8="","",Y8)</f>
        <v/>
      </c>
      <c r="J8" s="8">
        <f>IF(B8="","",SUMIF($R$5:$R$19,4,$W$5:$W$19)+SUMIF($S$5:$S$19,4,$X$5:$X$19))</f>
        <v/>
      </c>
      <c r="K8" s="9">
        <f>IF(B8="","",COUNTIFS($Z$5:$Z$10,1,$Y$5:$Y$10,"&gt;"&amp;Y8)+COUNTIFS($Z$5:$Z$10,1,$Y$5:$Y$10,Y8,$J$5:$J$10,"&gt;"&amp;J8)+1)</f>
        <v/>
      </c>
      <c r="M8" s="4" t="n">
        <v>2</v>
      </c>
      <c r="N8" s="10">
        <f>IF(INDEX($B$5:$B$10,6)="","6. bye","6. "&amp;INDEX($B$5:$B$10,6))</f>
        <v/>
      </c>
      <c r="O8" s="11" t="inlineStr">
        <is>
          <t>1-0</t>
        </is>
      </c>
      <c r="P8" s="10">
        <f>IF(INDEX($B$5:$B$10,4)="","4. bye","4. "&amp;INDEX($B$5:$B$10,4))</f>
        <v/>
      </c>
      <c r="R8" t="n">
        <v>6</v>
      </c>
      <c r="S8" t="n">
        <v>4</v>
      </c>
      <c r="T8">
        <f>IF(OR(O8="1-0",O8="½-½",O8="0-1"),1,0)</f>
        <v/>
      </c>
      <c r="U8">
        <f>IF(O8="1-0",1,IF(O8="½-½",0.5,0))</f>
        <v/>
      </c>
      <c r="V8">
        <f>IF(O8="0-1",1,IF(O8="½-½",0.5,0))</f>
        <v/>
      </c>
      <c r="W8">
        <f>U8*INDEX($Y$5:$Y$10,4)</f>
        <v/>
      </c>
      <c r="X8">
        <f>V8*INDEX($Y$5:$Y$10,6)</f>
        <v/>
      </c>
      <c r="Y8">
        <f>SUMIF($R$5:$R$19,4,$U$5:$U$19)+SUMIF($S$5:$S$19,4,$V$5:$V$19)</f>
        <v/>
      </c>
      <c r="Z8">
        <f>IF(B8="",0,1)</f>
        <v/>
      </c>
    </row>
    <row r="9">
      <c r="A9" s="4" t="n">
        <v>5</v>
      </c>
      <c r="B9" s="5" t="inlineStr">
        <is>
          <t>Elena</t>
        </is>
      </c>
      <c r="C9" s="4">
        <f>IF(COUNTIFS($R$5:$R$19,5,$S$5:$S$19,1,$T$5:$T$19,1)+COUNTIFS($R$5:$R$19,1,$S$5:$S$19,5,$T$5:$T$19,1)=0,"",CHOOSE((SUMIFS($U$5:$U$19,$R$5:$R$19,5,$S$5:$S$19,1)+SUMIFS($V$5:$V$19,$R$5:$R$19,1,$S$5:$S$19,5))*2+1,"0","½","1"))</f>
        <v/>
      </c>
      <c r="D9" s="4">
        <f>IF(COUNTIFS($R$5:$R$19,5,$S$5:$S$19,2,$T$5:$T$19,1)+COUNTIFS($R$5:$R$19,2,$S$5:$S$19,5,$T$5:$T$19,1)=0,"",CHOOSE((SUMIFS($U$5:$U$19,$R$5:$R$19,5,$S$5:$S$19,2)+SUMIFS($V$5:$V$19,$R$5:$R$19,2,$S$5:$S$19,5))*2+1,"0","½","1"))</f>
        <v/>
      </c>
      <c r="E9" s="4">
        <f>IF(COUNTIFS($R$5:$R$19,5,$S$5:$S$19,3,$T$5:$T$19,1)+COUNTIFS($R$5:$R$19,3,$S$5:$S$19,5,$T$5:$T$19,1)=0,"",CHOOSE((SUMIFS($U$5:$U$19,$R$5:$R$19,5,$S$5:$S$19,3)+SUMIFS($V$5:$V$19,$R$5:$R$19,3,$S$5:$S$19,5))*2+1,"0","½","1"))</f>
        <v/>
      </c>
      <c r="F9" s="4">
        <f>IF(COUNTIFS($R$5:$R$19,5,$S$5:$S$19,4,$T$5:$T$19,1)+COUNTIFS($R$5:$R$19,4,$S$5:$S$19,5,$T$5:$T$19,1)=0,"",CHOOSE((SUMIFS($U$5:$U$19,$R$5:$R$19,5,$S$5:$S$19,4)+SUMIFS($V$5:$V$19,$R$5:$R$19,4,$S$5:$S$19,5))*2+1,"0","½","1"))</f>
        <v/>
      </c>
      <c r="G9" s="6" t="n"/>
      <c r="H9" s="4">
        <f>IF(COUNTIFS($R$5:$R$19,5,$S$5:$S$19,6,$T$5:$T$19,1)+COUNTIFS($R$5:$R$19,6,$S$5:$S$19,5,$T$5:$T$19,1)=0,"",CHOOSE((SUMIFS($U$5:$U$19,$R$5:$R$19,5,$S$5:$S$19,6)+SUMIFS($V$5:$V$19,$R$5:$R$19,6,$S$5:$S$19,5))*2+1,"0","½","1"))</f>
        <v/>
      </c>
      <c r="I9" s="7">
        <f>IF(B9="","",Y9)</f>
        <v/>
      </c>
      <c r="J9" s="8">
        <f>IF(B9="","",SUMIF($R$5:$R$19,5,$W$5:$W$19)+SUMIF($S$5:$S$19,5,$X$5:$X$19))</f>
        <v/>
      </c>
      <c r="K9" s="9">
        <f>IF(B9="","",COUNTIFS($Z$5:$Z$10,1,$Y$5:$Y$10,"&gt;"&amp;Y9)+COUNTIFS($Z$5:$Z$10,1,$Y$5:$Y$10,Y9,$J$5:$J$10,"&gt;"&amp;J9)+1)</f>
        <v/>
      </c>
      <c r="M9" s="4" t="n">
        <v>2</v>
      </c>
      <c r="N9" s="10">
        <f>IF(INDEX($B$5:$B$10,5)="","5. bye","5. "&amp;INDEX($B$5:$B$10,5))</f>
        <v/>
      </c>
      <c r="O9" s="11" t="inlineStr">
        <is>
          <t>1-0</t>
        </is>
      </c>
      <c r="P9" s="10">
        <f>IF(INDEX($B$5:$B$10,3)="","3. bye","3. "&amp;INDEX($B$5:$B$10,3))</f>
        <v/>
      </c>
      <c r="R9" t="n">
        <v>5</v>
      </c>
      <c r="S9" t="n">
        <v>3</v>
      </c>
      <c r="T9">
        <f>IF(OR(O9="1-0",O9="½-½",O9="0-1"),1,0)</f>
        <v/>
      </c>
      <c r="U9">
        <f>IF(O9="1-0",1,IF(O9="½-½",0.5,0))</f>
        <v/>
      </c>
      <c r="V9">
        <f>IF(O9="0-1",1,IF(O9="½-½",0.5,0))</f>
        <v/>
      </c>
      <c r="W9">
        <f>U9*INDEX($Y$5:$Y$10,3)</f>
        <v/>
      </c>
      <c r="X9">
        <f>V9*INDEX($Y$5:$Y$10,5)</f>
        <v/>
      </c>
      <c r="Y9">
        <f>SUMIF($R$5:$R$19,5,$U$5:$U$19)+SUMIF($S$5:$S$19,5,$V$5:$V$19)</f>
        <v/>
      </c>
      <c r="Z9">
        <f>IF(B9="",0,1)</f>
        <v/>
      </c>
    </row>
    <row r="10">
      <c r="A10" s="4" t="n">
        <v>6</v>
      </c>
      <c r="B10" s="5" t="inlineStr">
        <is>
          <t>Finn</t>
        </is>
      </c>
      <c r="C10" s="4">
        <f>IF(COUNTIFS($R$5:$R$19,6,$S$5:$S$19,1,$T$5:$T$19,1)+COUNTIFS($R$5:$R$19,1,$S$5:$S$19,6,$T$5:$T$19,1)=0,"",CHOOSE((SUMIFS($U$5:$U$19,$R$5:$R$19,6,$S$5:$S$19,1)+SUMIFS($V$5:$V$19,$R$5:$R$19,1,$S$5:$S$19,6))*2+1,"0","½","1"))</f>
        <v/>
      </c>
      <c r="D10" s="4">
        <f>IF(COUNTIFS($R$5:$R$19,6,$S$5:$S$19,2,$T$5:$T$19,1)+COUNTIFS($R$5:$R$19,2,$S$5:$S$19,6,$T$5:$T$19,1)=0,"",CHOOSE((SUMIFS($U$5:$U$19,$R$5:$R$19,6,$S$5:$S$19,2)+SUMIFS($V$5:$V$19,$R$5:$R$19,2,$S$5:$S$19,6))*2+1,"0","½","1"))</f>
        <v/>
      </c>
      <c r="E10" s="4">
        <f>IF(COUNTIFS($R$5:$R$19,6,$S$5:$S$19,3,$T$5:$T$19,1)+COUNTIFS($R$5:$R$19,3,$S$5:$S$19,6,$T$5:$T$19,1)=0,"",CHOOSE((SUMIFS($U$5:$U$19,$R$5:$R$19,6,$S$5:$S$19,3)+SUMIFS($V$5:$V$19,$R$5:$R$19,3,$S$5:$S$19,6))*2+1,"0","½","1"))</f>
        <v/>
      </c>
      <c r="F10" s="4">
        <f>IF(COUNTIFS($R$5:$R$19,6,$S$5:$S$19,4,$T$5:$T$19,1)+COUNTIFS($R$5:$R$19,4,$S$5:$S$19,6,$T$5:$T$19,1)=0,"",CHOOSE((SUMIFS($U$5:$U$19,$R$5:$R$19,6,$S$5:$S$19,4)+SUMIFS($V$5:$V$19,$R$5:$R$19,4,$S$5:$S$19,6))*2+1,"0","½","1"))</f>
        <v/>
      </c>
      <c r="G10" s="4">
        <f>IF(COUNTIFS($R$5:$R$19,6,$S$5:$S$19,5,$T$5:$T$19,1)+COUNTIFS($R$5:$R$19,5,$S$5:$S$19,6,$T$5:$T$19,1)=0,"",CHOOSE((SUMIFS($U$5:$U$19,$R$5:$R$19,6,$S$5:$S$19,5)+SUMIFS($V$5:$V$19,$R$5:$R$19,5,$S$5:$S$19,6))*2+1,"0","½","1"))</f>
        <v/>
      </c>
      <c r="H10" s="6" t="n"/>
      <c r="I10" s="7">
        <f>IF(B10="","",Y10)</f>
        <v/>
      </c>
      <c r="J10" s="8">
        <f>IF(B10="","",SUMIF($R$5:$R$19,6,$W$5:$W$19)+SUMIF($S$5:$S$19,6,$X$5:$X$19))</f>
        <v/>
      </c>
      <c r="K10" s="9">
        <f>IF(B10="","",COUNTIFS($Z$5:$Z$10,1,$Y$5:$Y$10,"&gt;"&amp;Y10)+COUNTIFS($Z$5:$Z$10,1,$Y$5:$Y$10,Y10,$J$5:$J$10,"&gt;"&amp;J10)+1)</f>
        <v/>
      </c>
      <c r="M10" s="12" t="n">
        <v>2</v>
      </c>
      <c r="N10" s="13">
        <f>IF(INDEX($B$5:$B$10,1)="","1. bye","1. "&amp;INDEX($B$5:$B$10,1))</f>
        <v/>
      </c>
      <c r="O10" s="14" t="inlineStr">
        <is>
          <t>½-½</t>
        </is>
      </c>
      <c r="P10" s="13">
        <f>IF(INDEX($B$5:$B$10,2)="","2. bye","2. "&amp;INDEX($B$5:$B$10,2))</f>
        <v/>
      </c>
      <c r="R10" t="n">
        <v>1</v>
      </c>
      <c r="S10" t="n">
        <v>2</v>
      </c>
      <c r="T10">
        <f>IF(OR(O10="1-0",O10="½-½",O10="0-1"),1,0)</f>
        <v/>
      </c>
      <c r="U10">
        <f>IF(O10="1-0",1,IF(O10="½-½",0.5,0))</f>
        <v/>
      </c>
      <c r="V10">
        <f>IF(O10="0-1",1,IF(O10="½-½",0.5,0))</f>
        <v/>
      </c>
      <c r="W10">
        <f>U10*INDEX($Y$5:$Y$10,2)</f>
        <v/>
      </c>
      <c r="X10">
        <f>V10*INDEX($Y$5:$Y$10,1)</f>
        <v/>
      </c>
      <c r="Y10">
        <f>SUMIF($R$5:$R$19,6,$U$5:$U$19)+SUMIF($S$5:$S$19,6,$V$5:$V$19)</f>
        <v/>
      </c>
      <c r="Z10">
        <f>IF(B10="",0,1)</f>
        <v/>
      </c>
    </row>
    <row r="11">
      <c r="M11" s="4" t="n">
        <v>3</v>
      </c>
      <c r="N11" s="10">
        <f>IF(INDEX($B$5:$B$10,2)="","2. bye","2. "&amp;INDEX($B$5:$B$10,2))</f>
        <v/>
      </c>
      <c r="O11" s="11" t="inlineStr">
        <is>
          <t>0-1</t>
        </is>
      </c>
      <c r="P11" s="10">
        <f>IF(INDEX($B$5:$B$10,6)="","6. bye","6. "&amp;INDEX($B$5:$B$10,6))</f>
        <v/>
      </c>
      <c r="R11" t="n">
        <v>2</v>
      </c>
      <c r="S11" t="n">
        <v>6</v>
      </c>
      <c r="T11">
        <f>IF(OR(O11="1-0",O11="½-½",O11="0-1"),1,0)</f>
        <v/>
      </c>
      <c r="U11">
        <f>IF(O11="1-0",1,IF(O11="½-½",0.5,0))</f>
        <v/>
      </c>
      <c r="V11">
        <f>IF(O11="0-1",1,IF(O11="½-½",0.5,0))</f>
        <v/>
      </c>
      <c r="W11">
        <f>U11*INDEX($Y$5:$Y$10,6)</f>
        <v/>
      </c>
      <c r="X11">
        <f>V11*INDEX($Y$5:$Y$10,2)</f>
        <v/>
      </c>
    </row>
    <row r="12">
      <c r="M12" s="4" t="n">
        <v>3</v>
      </c>
      <c r="N12" s="10">
        <f>IF(INDEX($B$5:$B$10,3)="","3. bye","3. "&amp;INDEX($B$5:$B$10,3))</f>
        <v/>
      </c>
      <c r="O12" s="11" t="inlineStr">
        <is>
          <t>1-0</t>
        </is>
      </c>
      <c r="P12" s="10">
        <f>IF(INDEX($B$5:$B$10,1)="","1. bye","1. "&amp;INDEX($B$5:$B$10,1))</f>
        <v/>
      </c>
      <c r="R12" t="n">
        <v>3</v>
      </c>
      <c r="S12" t="n">
        <v>1</v>
      </c>
      <c r="T12">
        <f>IF(OR(O12="1-0",O12="½-½",O12="0-1"),1,0)</f>
        <v/>
      </c>
      <c r="U12">
        <f>IF(O12="1-0",1,IF(O12="½-½",0.5,0))</f>
        <v/>
      </c>
      <c r="V12">
        <f>IF(O12="0-1",1,IF(O12="½-½",0.5,0))</f>
        <v/>
      </c>
      <c r="W12">
        <f>U12*INDEX($Y$5:$Y$10,1)</f>
        <v/>
      </c>
      <c r="X12">
        <f>V12*INDEX($Y$5:$Y$10,3)</f>
        <v/>
      </c>
    </row>
    <row r="13">
      <c r="M13" s="12" t="n">
        <v>3</v>
      </c>
      <c r="N13" s="13">
        <f>IF(INDEX($B$5:$B$10,4)="","4. bye","4. "&amp;INDEX($B$5:$B$10,4))</f>
        <v/>
      </c>
      <c r="O13" s="14" t="inlineStr">
        <is>
          <t>1-0</t>
        </is>
      </c>
      <c r="P13" s="13">
        <f>IF(INDEX($B$5:$B$10,5)="","5. bye","5. "&amp;INDEX($B$5:$B$10,5))</f>
        <v/>
      </c>
      <c r="R13" t="n">
        <v>4</v>
      </c>
      <c r="S13" t="n">
        <v>5</v>
      </c>
      <c r="T13">
        <f>IF(OR(O13="1-0",O13="½-½",O13="0-1"),1,0)</f>
        <v/>
      </c>
      <c r="U13">
        <f>IF(O13="1-0",1,IF(O13="½-½",0.5,0))</f>
        <v/>
      </c>
      <c r="V13">
        <f>IF(O13="0-1",1,IF(O13="½-½",0.5,0))</f>
        <v/>
      </c>
      <c r="W13">
        <f>U13*INDEX($Y$5:$Y$10,5)</f>
        <v/>
      </c>
      <c r="X13">
        <f>V13*INDEX($Y$5:$Y$10,4)</f>
        <v/>
      </c>
    </row>
    <row r="14">
      <c r="M14" s="4" t="n">
        <v>4</v>
      </c>
      <c r="N14" s="10">
        <f>IF(INDEX($B$5:$B$10,6)="","6. bye","6. "&amp;INDEX($B$5:$B$10,6))</f>
        <v/>
      </c>
      <c r="O14" s="11" t="inlineStr">
        <is>
          <t>½-½</t>
        </is>
      </c>
      <c r="P14" s="10">
        <f>IF(INDEX($B$5:$B$10,5)="","5. bye","5. "&amp;INDEX($B$5:$B$10,5))</f>
        <v/>
      </c>
      <c r="R14" t="n">
        <v>6</v>
      </c>
      <c r="S14" t="n">
        <v>5</v>
      </c>
      <c r="T14">
        <f>IF(OR(O14="1-0",O14="½-½",O14="0-1"),1,0)</f>
        <v/>
      </c>
      <c r="U14">
        <f>IF(O14="1-0",1,IF(O14="½-½",0.5,0))</f>
        <v/>
      </c>
      <c r="V14">
        <f>IF(O14="0-1",1,IF(O14="½-½",0.5,0))</f>
        <v/>
      </c>
      <c r="W14">
        <f>U14*INDEX($Y$5:$Y$10,5)</f>
        <v/>
      </c>
      <c r="X14">
        <f>V14*INDEX($Y$5:$Y$10,6)</f>
        <v/>
      </c>
    </row>
    <row r="15">
      <c r="M15" s="4" t="n">
        <v>4</v>
      </c>
      <c r="N15" s="10">
        <f>IF(INDEX($B$5:$B$10,1)="","1. bye","1. "&amp;INDEX($B$5:$B$10,1))</f>
        <v/>
      </c>
      <c r="O15" s="11" t="inlineStr">
        <is>
          <t>1-0</t>
        </is>
      </c>
      <c r="P15" s="10">
        <f>IF(INDEX($B$5:$B$10,4)="","4. bye","4. "&amp;INDEX($B$5:$B$10,4))</f>
        <v/>
      </c>
      <c r="R15" t="n">
        <v>1</v>
      </c>
      <c r="S15" t="n">
        <v>4</v>
      </c>
      <c r="T15">
        <f>IF(OR(O15="1-0",O15="½-½",O15="0-1"),1,0)</f>
        <v/>
      </c>
      <c r="U15">
        <f>IF(O15="1-0",1,IF(O15="½-½",0.5,0))</f>
        <v/>
      </c>
      <c r="V15">
        <f>IF(O15="0-1",1,IF(O15="½-½",0.5,0))</f>
        <v/>
      </c>
      <c r="W15">
        <f>U15*INDEX($Y$5:$Y$10,4)</f>
        <v/>
      </c>
      <c r="X15">
        <f>V15*INDEX($Y$5:$Y$10,1)</f>
        <v/>
      </c>
    </row>
    <row r="16">
      <c r="M16" s="12" t="n">
        <v>4</v>
      </c>
      <c r="N16" s="13">
        <f>IF(INDEX($B$5:$B$10,2)="","2. bye","2. "&amp;INDEX($B$5:$B$10,2))</f>
        <v/>
      </c>
      <c r="O16" s="14" t="inlineStr">
        <is>
          <t>0-1</t>
        </is>
      </c>
      <c r="P16" s="13">
        <f>IF(INDEX($B$5:$B$10,3)="","3. bye","3. "&amp;INDEX($B$5:$B$10,3))</f>
        <v/>
      </c>
      <c r="R16" t="n">
        <v>2</v>
      </c>
      <c r="S16" t="n">
        <v>3</v>
      </c>
      <c r="T16">
        <f>IF(OR(O16="1-0",O16="½-½",O16="0-1"),1,0)</f>
        <v/>
      </c>
      <c r="U16">
        <f>IF(O16="1-0",1,IF(O16="½-½",0.5,0))</f>
        <v/>
      </c>
      <c r="V16">
        <f>IF(O16="0-1",1,IF(O16="½-½",0.5,0))</f>
        <v/>
      </c>
      <c r="W16">
        <f>U16*INDEX($Y$5:$Y$10,3)</f>
        <v/>
      </c>
      <c r="X16">
        <f>V16*INDEX($Y$5:$Y$10,2)</f>
        <v/>
      </c>
    </row>
    <row r="17">
      <c r="M17" s="4" t="n">
        <v>5</v>
      </c>
      <c r="N17" s="10">
        <f>IF(INDEX($B$5:$B$10,3)="","3. bye","3. "&amp;INDEX($B$5:$B$10,3))</f>
        <v/>
      </c>
      <c r="O17" s="11" t="inlineStr">
        <is>
          <t>0-1</t>
        </is>
      </c>
      <c r="P17" s="10">
        <f>IF(INDEX($B$5:$B$10,6)="","6. bye","6. "&amp;INDEX($B$5:$B$10,6))</f>
        <v/>
      </c>
      <c r="R17" t="n">
        <v>3</v>
      </c>
      <c r="S17" t="n">
        <v>6</v>
      </c>
      <c r="T17">
        <f>IF(OR(O17="1-0",O17="½-½",O17="0-1"),1,0)</f>
        <v/>
      </c>
      <c r="U17">
        <f>IF(O17="1-0",1,IF(O17="½-½",0.5,0))</f>
        <v/>
      </c>
      <c r="V17">
        <f>IF(O17="0-1",1,IF(O17="½-½",0.5,0))</f>
        <v/>
      </c>
      <c r="W17">
        <f>U17*INDEX($Y$5:$Y$10,6)</f>
        <v/>
      </c>
      <c r="X17">
        <f>V17*INDEX($Y$5:$Y$10,3)</f>
        <v/>
      </c>
    </row>
    <row r="18">
      <c r="M18" s="4" t="n">
        <v>5</v>
      </c>
      <c r="N18" s="10">
        <f>IF(INDEX($B$5:$B$10,4)="","4. bye","4. "&amp;INDEX($B$5:$B$10,4))</f>
        <v/>
      </c>
      <c r="O18" s="11" t="inlineStr">
        <is>
          <t>½-½</t>
        </is>
      </c>
      <c r="P18" s="10">
        <f>IF(INDEX($B$5:$B$10,2)="","2. bye","2. "&amp;INDEX($B$5:$B$10,2))</f>
        <v/>
      </c>
      <c r="R18" t="n">
        <v>4</v>
      </c>
      <c r="S18" t="n">
        <v>2</v>
      </c>
      <c r="T18">
        <f>IF(OR(O18="1-0",O18="½-½",O18="0-1"),1,0)</f>
        <v/>
      </c>
      <c r="U18">
        <f>IF(O18="1-0",1,IF(O18="½-½",0.5,0))</f>
        <v/>
      </c>
      <c r="V18">
        <f>IF(O18="0-1",1,IF(O18="½-½",0.5,0))</f>
        <v/>
      </c>
      <c r="W18">
        <f>U18*INDEX($Y$5:$Y$10,2)</f>
        <v/>
      </c>
      <c r="X18">
        <f>V18*INDEX($Y$5:$Y$10,4)</f>
        <v/>
      </c>
    </row>
    <row r="19">
      <c r="M19" s="4" t="n">
        <v>5</v>
      </c>
      <c r="N19" s="10">
        <f>IF(INDEX($B$5:$B$10,5)="","5. bye","5. "&amp;INDEX($B$5:$B$10,5))</f>
        <v/>
      </c>
      <c r="O19" s="11" t="inlineStr">
        <is>
          <t>1-0</t>
        </is>
      </c>
      <c r="P19" s="10">
        <f>IF(INDEX($B$5:$B$10,1)="","1. bye","1. "&amp;INDEX($B$5:$B$10,1))</f>
        <v/>
      </c>
      <c r="R19" t="n">
        <v>5</v>
      </c>
      <c r="S19" t="n">
        <v>1</v>
      </c>
      <c r="T19">
        <f>IF(OR(O19="1-0",O19="½-½",O19="0-1"),1,0)</f>
        <v/>
      </c>
      <c r="U19">
        <f>IF(O19="1-0",1,IF(O19="½-½",0.5,0))</f>
        <v/>
      </c>
      <c r="V19">
        <f>IF(O19="0-1",1,IF(O19="½-½",0.5,0))</f>
        <v/>
      </c>
      <c r="W19">
        <f>U19*INDEX($Y$5:$Y$10,1)</f>
        <v/>
      </c>
      <c r="X19">
        <f>V19*INDEX($Y$5:$Y$10,5)</f>
        <v/>
      </c>
    </row>
  </sheetData>
  <dataValidations count="1">
    <dataValidation sqref="O5 O6 O7 O8 O9 O10 O11 O12 O13 O14 O15 O16 O17 O18 O19" showDropDown="0" showInputMessage="0" showErrorMessage="1" allowBlank="1" errorTitle="Result" error="Pick 1-0, ½-½ or 0-1 from the list." type="list">
      <formula1>"1-0,½-½,0-1"</formula1>
    </dataValidation>
  </dataValidations>
  <printOptions horizontalCentered="1"/>
  <pageMargins left="0.4" right="0.4" top="1" bottom="1" header="0.5" footer="0.5"/>
  <pageSetup orientation="landscape" paperSize="1" fitToHeight="0" fitToWidth="1"/>
  <headerFooter>
    <oddHeader/>
    <oddFooter>&amp;C&amp;8 illuminationdevelopment.com/printables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How it works</t>
        </is>
      </c>
    </row>
    <row r="2">
      <c r="A2" s="2" t="inlineStr"/>
    </row>
    <row r="3">
      <c r="A3" s="15" t="inlineStr">
        <is>
          <t>Pick the tab for your group: 8 players (or 7), 6 (or 5), 4 (or 3).</t>
        </is>
      </c>
    </row>
    <row r="4">
      <c r="A4" s="15" t="inlineStr">
        <is>
          <t>Draw lots for the numbers, then type each name in the yellow Player column.</t>
        </is>
      </c>
    </row>
    <row r="5">
      <c r="A5" s="15" t="inlineStr">
        <is>
          <t>Each round, play the games listed beside the table. The player on the left has white.</t>
        </is>
      </c>
    </row>
    <row r="6">
      <c r="A6" s="15" t="inlineStr">
        <is>
          <t>When a game ends, pick its result from the list in the Result column: 1-0, ½-½ or 0-1.</t>
        </is>
      </c>
    </row>
    <row r="7">
      <c r="A7" s="15" t="inlineStr">
        <is>
          <t>The crosstable, the scores and the places fill in by themselves.</t>
        </is>
      </c>
    </row>
    <row r="8">
      <c r="A8" s="15" t="inlineStr"/>
    </row>
    <row r="9">
      <c r="A9" s="16" t="inlineStr">
        <is>
          <t>How places are worked out:</t>
        </is>
      </c>
    </row>
    <row r="10">
      <c r="A10" s="15" t="inlineStr">
        <is>
          <t>A win is 1 point, a draw is ½ and a loss is 0. Most points comes first.</t>
        </is>
      </c>
    </row>
    <row r="11">
      <c r="A11" s="15" t="inlineStr">
        <is>
          <t>Ties are split by SB, the Sonneborn-Berger score: the points of every player you beat, plus half the points of every player you drew with. Beating the leaders counts for more.</t>
        </is>
      </c>
    </row>
    <row r="12">
      <c r="A12" s="15" t="inlineStr">
        <is>
          <t>Players still level on both share the place.</t>
        </is>
      </c>
    </row>
    <row r="13">
      <c r="A13" s="15" t="inlineStr"/>
    </row>
    <row r="14">
      <c r="A14" s="15" t="inlineStr">
        <is>
          <t>The pairings are the Berger tables, the standard order for a round robin. Colors come out as close to even as the numbers allow.</t>
        </is>
      </c>
    </row>
    <row r="15">
      <c r="A15" s="15" t="inlineStr"/>
    </row>
    <row r="16">
      <c r="A16" s="15" t="inlineStr">
        <is>
          <t>Opens in Excel, Google Sheets (File &gt; Import, or upload it to Drive) and Numbers. There are no macros. The Example tab is filled in so you can see it working.</t>
        </is>
      </c>
    </row>
    <row r="17">
      <c r="A17" s="15" t="inlineStr"/>
    </row>
    <row r="18">
      <c r="A18" s="15" t="inlineStr">
        <is>
          <t>Made by Illumination Development, who also make Chess Clock &amp; Scorepad for Android: a clock and a scoresheet in one app, free on Google Play.</t>
        </is>
      </c>
    </row>
    <row r="19">
      <c r="A19" s="15" t="inlineStr">
        <is>
          <t>https://illuminationdevelopment.com/chess-clock</t>
        </is>
      </c>
    </row>
  </sheetData>
  <printOptions horizontalCentered="1"/>
  <pageMargins left="0.4" right="0.4" top="1" bottom="1" header="0.5" footer="0.5"/>
  <pageSetup orientation="portrait" paperSize="1" fitToHeight="0" fitToWidth="1"/>
  <headerFooter>
    <oddHeader/>
    <oddFooter>&amp;C&amp;8 illuminationdevelopment.com/printables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Illumination Development</dc:creator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2026-10-13T23:21:17Z</dcterms:modified>
</cp:coreProperties>
</file>